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in-file1\sluzbakontrolinga\03 PLANIRANJE\09 Plan 2024\8. SET ZA UV 2024\PLAN 2024-2026\za objavu na web stranici\"/>
    </mc:Choice>
  </mc:AlternateContent>
  <bookViews>
    <workbookView xWindow="-15" yWindow="-15" windowWidth="11520" windowHeight="9705" tabRatio="643" firstSheet="2" activeTab="2"/>
  </bookViews>
  <sheets>
    <sheet name="SAŽETAK" sheetId="1" r:id="rId1"/>
    <sheet name=" Račun prihoda i rashoda-ekonom" sheetId="3" r:id="rId2"/>
    <sheet name="Račun prihoda i rashoda-izvori" sheetId="5" r:id="rId3"/>
    <sheet name="Račun rashoda-funkcija" sheetId="8" r:id="rId4"/>
    <sheet name="Račun financiranja-ekonomsk" sheetId="10" r:id="rId5"/>
    <sheet name="Račun financiranja-izvori" sheetId="6" r:id="rId6"/>
    <sheet name="POSEBNI DIO" sheetId="7" r:id="rId7"/>
  </sheets>
  <definedNames>
    <definedName name="EURO" localSheetId="6">'POSEBNI DIO'!#REF!</definedName>
    <definedName name="_xlnm.Print_Titles" localSheetId="1">' Račun prihoda i rashoda-ekonom'!$6:$6</definedName>
    <definedName name="_xlnm.Print_Titles" localSheetId="6">'POSEBNI DIO'!$4:$4</definedName>
    <definedName name="_xlnm.Print_Area" localSheetId="1">' Račun prihoda i rashoda-ekonom'!$A$1:$G$128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7" l="1"/>
  <c r="H40" i="7"/>
  <c r="G40" i="7"/>
  <c r="F40" i="7"/>
  <c r="E40" i="7"/>
  <c r="I21" i="7"/>
  <c r="H21" i="7"/>
  <c r="G21" i="7"/>
  <c r="F21" i="7"/>
  <c r="E21" i="7"/>
  <c r="F13" i="3" l="1"/>
  <c r="E32" i="7" l="1"/>
  <c r="C45" i="5"/>
  <c r="G59" i="5" l="1"/>
  <c r="F59" i="5"/>
  <c r="E59" i="5"/>
  <c r="D59" i="5"/>
  <c r="C59" i="5"/>
  <c r="I77" i="7"/>
  <c r="H77" i="7"/>
  <c r="G77" i="7"/>
  <c r="F77" i="7"/>
  <c r="E77" i="7"/>
  <c r="I75" i="7"/>
  <c r="H75" i="7"/>
  <c r="G75" i="7"/>
  <c r="F75" i="7"/>
  <c r="F74" i="7" s="1"/>
  <c r="E75" i="7"/>
  <c r="E74" i="7" l="1"/>
  <c r="I74" i="7"/>
  <c r="G74" i="7"/>
  <c r="H74" i="7"/>
  <c r="G38" i="3"/>
  <c r="F38" i="3"/>
  <c r="E38" i="3"/>
  <c r="G37" i="3"/>
  <c r="F37" i="3"/>
  <c r="E37" i="3"/>
  <c r="E28" i="3"/>
  <c r="G28" i="3"/>
  <c r="F28" i="3"/>
  <c r="G31" i="3"/>
  <c r="F31" i="3"/>
  <c r="G24" i="3"/>
  <c r="F24" i="3"/>
  <c r="E24" i="3"/>
  <c r="G23" i="3"/>
  <c r="F23" i="3"/>
  <c r="E23" i="3"/>
  <c r="G26" i="5" l="1"/>
  <c r="F26" i="5"/>
  <c r="E26" i="5"/>
  <c r="D67" i="3" l="1"/>
  <c r="D80" i="3"/>
  <c r="D66" i="3"/>
  <c r="D61" i="3"/>
  <c r="D53" i="3"/>
  <c r="D126" i="3"/>
  <c r="D78" i="3"/>
  <c r="D113" i="3"/>
  <c r="D112" i="3"/>
  <c r="D111" i="3"/>
  <c r="D110" i="3"/>
  <c r="D88" i="3"/>
  <c r="D75" i="3"/>
  <c r="D74" i="3"/>
  <c r="D63" i="3"/>
  <c r="D76" i="3"/>
  <c r="D68" i="3"/>
  <c r="D62" i="3"/>
  <c r="D58" i="3"/>
  <c r="D56" i="3"/>
  <c r="D79" i="3"/>
  <c r="D99" i="3"/>
  <c r="D95" i="3"/>
  <c r="D89" i="3"/>
  <c r="D87" i="3"/>
  <c r="D122" i="3"/>
  <c r="D115" i="3"/>
  <c r="D90" i="3"/>
  <c r="D82" i="3"/>
  <c r="D77" i="3"/>
  <c r="D72" i="3"/>
  <c r="D70" i="3"/>
  <c r="D38" i="3"/>
  <c r="D37" i="3"/>
  <c r="D34" i="3"/>
  <c r="D33" i="3"/>
  <c r="D12" i="3"/>
  <c r="D11" i="3"/>
  <c r="D20" i="3"/>
  <c r="D19" i="3"/>
  <c r="D18" i="3"/>
  <c r="D16" i="3"/>
  <c r="D14" i="3"/>
  <c r="D43" i="3"/>
  <c r="D40" i="3"/>
  <c r="D28" i="3"/>
  <c r="D24" i="3"/>
  <c r="D23" i="3"/>
  <c r="D23" i="5" l="1"/>
  <c r="D12" i="5"/>
  <c r="D10" i="5"/>
  <c r="C57" i="5" l="1"/>
  <c r="G57" i="5"/>
  <c r="F57" i="5"/>
  <c r="E57" i="5"/>
  <c r="D57" i="5"/>
  <c r="C55" i="5"/>
  <c r="D55" i="5"/>
  <c r="C46" i="5"/>
  <c r="D46" i="5"/>
  <c r="D44" i="5"/>
  <c r="C42" i="5"/>
  <c r="G42" i="5"/>
  <c r="F42" i="5"/>
  <c r="E42" i="5"/>
  <c r="D42" i="5"/>
  <c r="C39" i="5"/>
  <c r="D39" i="5"/>
  <c r="D38" i="5" l="1"/>
  <c r="C24" i="5"/>
  <c r="G24" i="5"/>
  <c r="F24" i="5"/>
  <c r="E24" i="5"/>
  <c r="D24" i="5"/>
  <c r="C22" i="5"/>
  <c r="D22" i="5"/>
  <c r="C13" i="5"/>
  <c r="G13" i="5"/>
  <c r="F13" i="5"/>
  <c r="E13" i="5"/>
  <c r="D13" i="5"/>
  <c r="C11" i="5"/>
  <c r="D11" i="5"/>
  <c r="C9" i="5"/>
  <c r="D9" i="5"/>
  <c r="C6" i="5"/>
  <c r="G6" i="5"/>
  <c r="F6" i="5"/>
  <c r="E6" i="5"/>
  <c r="D6" i="5"/>
  <c r="G52" i="3"/>
  <c r="F52" i="3"/>
  <c r="E52" i="3"/>
  <c r="D52" i="3"/>
  <c r="G51" i="3"/>
  <c r="F51" i="3"/>
  <c r="E51" i="3"/>
  <c r="D51" i="3"/>
  <c r="C125" i="3"/>
  <c r="G125" i="3"/>
  <c r="F125" i="3"/>
  <c r="E125" i="3"/>
  <c r="D125" i="3"/>
  <c r="C127" i="3"/>
  <c r="G127" i="3"/>
  <c r="F127" i="3"/>
  <c r="E127" i="3"/>
  <c r="D127" i="3"/>
  <c r="C121" i="3"/>
  <c r="G121" i="3"/>
  <c r="F121" i="3"/>
  <c r="E121" i="3"/>
  <c r="D121" i="3"/>
  <c r="C118" i="3"/>
  <c r="G118" i="3"/>
  <c r="F118" i="3"/>
  <c r="E118" i="3"/>
  <c r="D118" i="3"/>
  <c r="C116" i="3"/>
  <c r="G116" i="3"/>
  <c r="F116" i="3"/>
  <c r="E116" i="3"/>
  <c r="D116" i="3"/>
  <c r="C109" i="3"/>
  <c r="G109" i="3"/>
  <c r="F109" i="3"/>
  <c r="E109" i="3"/>
  <c r="D109" i="3"/>
  <c r="C106" i="3"/>
  <c r="G106" i="3"/>
  <c r="F106" i="3"/>
  <c r="E106" i="3"/>
  <c r="D106" i="3"/>
  <c r="C102" i="3"/>
  <c r="C101" i="3" s="1"/>
  <c r="G102" i="3"/>
  <c r="F102" i="3"/>
  <c r="F101" i="3" s="1"/>
  <c r="E102" i="3"/>
  <c r="D102" i="3"/>
  <c r="D101" i="3" s="1"/>
  <c r="G101" i="3"/>
  <c r="E101" i="3"/>
  <c r="C98" i="3"/>
  <c r="C97" i="3" s="1"/>
  <c r="G98" i="3"/>
  <c r="F98" i="3"/>
  <c r="E98" i="3"/>
  <c r="D98" i="3"/>
  <c r="D97" i="3" s="1"/>
  <c r="G97" i="3"/>
  <c r="F97" i="3"/>
  <c r="E97" i="3"/>
  <c r="C92" i="3"/>
  <c r="C91" i="3" s="1"/>
  <c r="G92" i="3"/>
  <c r="F92" i="3"/>
  <c r="F91" i="3" s="1"/>
  <c r="E92" i="3"/>
  <c r="E91" i="3" s="1"/>
  <c r="D92" i="3"/>
  <c r="D91" i="3" s="1"/>
  <c r="G91" i="3"/>
  <c r="C83" i="3"/>
  <c r="G83" i="3"/>
  <c r="F83" i="3"/>
  <c r="E83" i="3"/>
  <c r="D83" i="3"/>
  <c r="C81" i="3"/>
  <c r="G81" i="3"/>
  <c r="F81" i="3"/>
  <c r="E81" i="3"/>
  <c r="D81" i="3"/>
  <c r="C71" i="3"/>
  <c r="G71" i="3"/>
  <c r="F71" i="3"/>
  <c r="E71" i="3"/>
  <c r="D71" i="3"/>
  <c r="C65" i="3"/>
  <c r="G65" i="3"/>
  <c r="F65" i="3"/>
  <c r="E65" i="3"/>
  <c r="D65" i="3"/>
  <c r="C60" i="3"/>
  <c r="G60" i="3"/>
  <c r="F60" i="3"/>
  <c r="E60" i="3"/>
  <c r="D60" i="3"/>
  <c r="C57" i="3"/>
  <c r="G57" i="3"/>
  <c r="F57" i="3"/>
  <c r="E57" i="3"/>
  <c r="D57" i="3"/>
  <c r="C55" i="3"/>
  <c r="G55" i="3"/>
  <c r="F55" i="3"/>
  <c r="E55" i="3"/>
  <c r="D55" i="3"/>
  <c r="C52" i="3"/>
  <c r="C51" i="3"/>
  <c r="E124" i="3" l="1"/>
  <c r="G124" i="3"/>
  <c r="D124" i="3"/>
  <c r="E59" i="3"/>
  <c r="E50" i="3" s="1"/>
  <c r="F124" i="3"/>
  <c r="C124" i="3"/>
  <c r="G105" i="3"/>
  <c r="E105" i="3"/>
  <c r="E100" i="3" s="1"/>
  <c r="F59" i="3"/>
  <c r="F50" i="3" s="1"/>
  <c r="D5" i="5"/>
  <c r="C5" i="5"/>
  <c r="D105" i="3"/>
  <c r="F105" i="3"/>
  <c r="C105" i="3"/>
  <c r="C59" i="3"/>
  <c r="C50" i="3" s="1"/>
  <c r="D59" i="3"/>
  <c r="D50" i="3" s="1"/>
  <c r="G59" i="3"/>
  <c r="G50" i="3" s="1"/>
  <c r="C10" i="3"/>
  <c r="C22" i="3"/>
  <c r="C21" i="3"/>
  <c r="C27" i="3"/>
  <c r="C26" i="3" s="1"/>
  <c r="C30" i="3"/>
  <c r="C36" i="3"/>
  <c r="C42" i="3"/>
  <c r="C41" i="3" s="1"/>
  <c r="C46" i="3"/>
  <c r="C45" i="3" s="1"/>
  <c r="C44" i="3" s="1"/>
  <c r="G46" i="3"/>
  <c r="G45" i="3" s="1"/>
  <c r="G44" i="3" s="1"/>
  <c r="F46" i="3"/>
  <c r="F45" i="3" s="1"/>
  <c r="F44" i="3" s="1"/>
  <c r="E46" i="3"/>
  <c r="E45" i="3" s="1"/>
  <c r="E44" i="3" s="1"/>
  <c r="D46" i="3"/>
  <c r="D45" i="3" s="1"/>
  <c r="D44" i="3" s="1"/>
  <c r="G42" i="3"/>
  <c r="G41" i="3" s="1"/>
  <c r="F42" i="3"/>
  <c r="F41" i="3" s="1"/>
  <c r="E42" i="3"/>
  <c r="E41" i="3" s="1"/>
  <c r="G30" i="3"/>
  <c r="F30" i="3"/>
  <c r="E30" i="3"/>
  <c r="G27" i="3"/>
  <c r="G26" i="3" s="1"/>
  <c r="F27" i="3"/>
  <c r="F26" i="3" s="1"/>
  <c r="E27" i="3"/>
  <c r="E26" i="3" s="1"/>
  <c r="E49" i="3" l="1"/>
  <c r="F100" i="3"/>
  <c r="F49" i="3" s="1"/>
  <c r="D100" i="3"/>
  <c r="D49" i="3" s="1"/>
  <c r="G100" i="3"/>
  <c r="G49" i="3" s="1"/>
  <c r="C100" i="3"/>
  <c r="C49" i="3" s="1"/>
  <c r="G22" i="3"/>
  <c r="F22" i="3"/>
  <c r="E22" i="3"/>
  <c r="G21" i="3"/>
  <c r="F21" i="3"/>
  <c r="E21" i="3"/>
  <c r="G13" i="3"/>
  <c r="E13" i="3"/>
  <c r="G10" i="3"/>
  <c r="F10" i="3"/>
  <c r="E10" i="3"/>
  <c r="C13" i="3"/>
  <c r="C15" i="3"/>
  <c r="C17" i="3"/>
  <c r="C32" i="3"/>
  <c r="C29" i="3" s="1"/>
  <c r="C39" i="3"/>
  <c r="C35" i="3" s="1"/>
  <c r="G39" i="3"/>
  <c r="F39" i="3"/>
  <c r="E39" i="3"/>
  <c r="G32" i="3"/>
  <c r="G29" i="3" s="1"/>
  <c r="F32" i="3"/>
  <c r="F29" i="3" s="1"/>
  <c r="E32" i="3"/>
  <c r="E29" i="3" s="1"/>
  <c r="G17" i="3"/>
  <c r="F17" i="3"/>
  <c r="E17" i="3"/>
  <c r="G15" i="3"/>
  <c r="F15" i="3"/>
  <c r="E15" i="3"/>
  <c r="E9" i="3" l="1"/>
  <c r="F9" i="3"/>
  <c r="G9" i="3"/>
  <c r="C9" i="3"/>
  <c r="C8" i="3" s="1"/>
  <c r="C7" i="3" s="1"/>
  <c r="G39" i="5" l="1"/>
  <c r="F39" i="5"/>
  <c r="E39" i="5"/>
  <c r="G55" i="5"/>
  <c r="F55" i="5"/>
  <c r="E55" i="5"/>
  <c r="G46" i="5"/>
  <c r="F46" i="5"/>
  <c r="E46" i="5"/>
  <c r="G44" i="5"/>
  <c r="F44" i="5"/>
  <c r="E44" i="5"/>
  <c r="G23" i="5"/>
  <c r="G22" i="5" s="1"/>
  <c r="F23" i="5"/>
  <c r="F22" i="5" s="1"/>
  <c r="E23" i="5"/>
  <c r="E22" i="5" s="1"/>
  <c r="G12" i="5"/>
  <c r="G11" i="5" s="1"/>
  <c r="F12" i="5"/>
  <c r="F11" i="5" s="1"/>
  <c r="E12" i="5"/>
  <c r="E11" i="5" s="1"/>
  <c r="G10" i="5"/>
  <c r="G9" i="5" s="1"/>
  <c r="F10" i="5"/>
  <c r="F9" i="5" s="1"/>
  <c r="F5" i="5" s="1"/>
  <c r="E10" i="5"/>
  <c r="E9" i="5" s="1"/>
  <c r="J24" i="1"/>
  <c r="I24" i="1"/>
  <c r="H24" i="1"/>
  <c r="J10" i="1"/>
  <c r="G5" i="5" l="1"/>
  <c r="E38" i="5"/>
  <c r="F38" i="5"/>
  <c r="E5" i="5"/>
  <c r="G38" i="5"/>
  <c r="I45" i="7"/>
  <c r="H45" i="7"/>
  <c r="G45" i="7"/>
  <c r="F45" i="7"/>
  <c r="E45" i="7"/>
  <c r="G36" i="3" l="1"/>
  <c r="G35" i="3" s="1"/>
  <c r="G8" i="3" s="1"/>
  <c r="G7" i="3" s="1"/>
  <c r="F36" i="3"/>
  <c r="F35" i="3" s="1"/>
  <c r="F8" i="3" s="1"/>
  <c r="F7" i="3" s="1"/>
  <c r="E36" i="3"/>
  <c r="E35" i="3" s="1"/>
  <c r="E8" i="3" s="1"/>
  <c r="E7" i="3" s="1"/>
  <c r="I24" i="7" l="1"/>
  <c r="H24" i="7"/>
  <c r="G24" i="7"/>
  <c r="G23" i="7" s="1"/>
  <c r="D36" i="3" l="1"/>
  <c r="D27" i="3"/>
  <c r="D26" i="3" s="1"/>
  <c r="D32" i="3"/>
  <c r="D10" i="3"/>
  <c r="D15" i="3"/>
  <c r="D13" i="3"/>
  <c r="D42" i="3"/>
  <c r="D41" i="3" s="1"/>
  <c r="D39" i="3"/>
  <c r="D30" i="3"/>
  <c r="D22" i="3" l="1"/>
  <c r="D21" i="3"/>
  <c r="D35" i="3"/>
  <c r="D29" i="3"/>
  <c r="D17" i="3"/>
  <c r="D9" i="3" s="1"/>
  <c r="C44" i="5"/>
  <c r="C38" i="5" s="1"/>
  <c r="D8" i="3" l="1"/>
  <c r="D7" i="3" s="1"/>
  <c r="I55" i="7"/>
  <c r="H55" i="7"/>
  <c r="G55" i="7"/>
  <c r="F55" i="7"/>
  <c r="E55" i="7"/>
  <c r="G68" i="5"/>
  <c r="F68" i="5"/>
  <c r="E68" i="5"/>
  <c r="D68" i="5"/>
  <c r="C68" i="5"/>
  <c r="C35" i="5"/>
  <c r="G35" i="5"/>
  <c r="F35" i="5"/>
  <c r="E35" i="5"/>
  <c r="D35" i="5"/>
  <c r="F25" i="6" l="1"/>
  <c r="E25" i="6"/>
  <c r="D25" i="6"/>
  <c r="C25" i="6"/>
  <c r="F23" i="6"/>
  <c r="E23" i="6"/>
  <c r="D23" i="6"/>
  <c r="C23" i="6"/>
  <c r="F6" i="6"/>
  <c r="E6" i="6"/>
  <c r="D6" i="6"/>
  <c r="C6" i="6"/>
  <c r="F9" i="6"/>
  <c r="E9" i="6"/>
  <c r="D9" i="6"/>
  <c r="C9" i="6"/>
  <c r="C11" i="6"/>
  <c r="F11" i="6"/>
  <c r="E11" i="6"/>
  <c r="D11" i="6"/>
  <c r="F13" i="6"/>
  <c r="E13" i="6"/>
  <c r="D13" i="6"/>
  <c r="C13" i="6"/>
  <c r="B25" i="6"/>
  <c r="B23" i="6"/>
  <c r="B13" i="6"/>
  <c r="B11" i="6"/>
  <c r="B9" i="6"/>
  <c r="B6" i="6"/>
  <c r="J21" i="1" l="1"/>
  <c r="I21" i="1"/>
  <c r="H21" i="1"/>
  <c r="G21" i="1"/>
  <c r="E104" i="7" l="1"/>
  <c r="E103" i="7" s="1"/>
  <c r="E110" i="7"/>
  <c r="F6" i="8" l="1"/>
  <c r="E6" i="8"/>
  <c r="F5" i="8"/>
  <c r="E5" i="8"/>
  <c r="F141" i="7" l="1"/>
  <c r="F138" i="7"/>
  <c r="F135" i="7"/>
  <c r="F132" i="7"/>
  <c r="F129" i="7"/>
  <c r="F126" i="7"/>
  <c r="F121" i="7"/>
  <c r="F119" i="7"/>
  <c r="F114" i="7"/>
  <c r="F113" i="7" s="1"/>
  <c r="F110" i="7"/>
  <c r="F109" i="7" s="1"/>
  <c r="F104" i="7"/>
  <c r="F103" i="7" s="1"/>
  <c r="F99" i="7"/>
  <c r="F98" i="7" s="1"/>
  <c r="F95" i="7"/>
  <c r="F94" i="7" s="1"/>
  <c r="F90" i="7"/>
  <c r="F87" i="7"/>
  <c r="F84" i="7"/>
  <c r="F81" i="7"/>
  <c r="F72" i="7"/>
  <c r="F70" i="7"/>
  <c r="F67" i="7"/>
  <c r="F65" i="7"/>
  <c r="F62" i="7"/>
  <c r="F60" i="7"/>
  <c r="F57" i="7"/>
  <c r="F54" i="7" s="1"/>
  <c r="F50" i="7"/>
  <c r="F48" i="7"/>
  <c r="F43" i="7"/>
  <c r="F39" i="7"/>
  <c r="F36" i="7"/>
  <c r="F35" i="7" s="1"/>
  <c r="F32" i="7"/>
  <c r="F31" i="7" s="1"/>
  <c r="F28" i="7"/>
  <c r="F27" i="7" s="1"/>
  <c r="F24" i="7"/>
  <c r="F23" i="7" s="1"/>
  <c r="F20" i="7"/>
  <c r="F17" i="7"/>
  <c r="F16" i="7" s="1"/>
  <c r="F12" i="7"/>
  <c r="F11" i="7" s="1"/>
  <c r="E141" i="7"/>
  <c r="E138" i="7"/>
  <c r="E135" i="7"/>
  <c r="E132" i="7"/>
  <c r="E129" i="7"/>
  <c r="E126" i="7"/>
  <c r="E121" i="7"/>
  <c r="E119" i="7"/>
  <c r="E114" i="7"/>
  <c r="E113" i="7" s="1"/>
  <c r="E109" i="7"/>
  <c r="E99" i="7"/>
  <c r="E98" i="7" s="1"/>
  <c r="E95" i="7"/>
  <c r="E94" i="7" s="1"/>
  <c r="E90" i="7"/>
  <c r="E87" i="7"/>
  <c r="E84" i="7"/>
  <c r="E81" i="7"/>
  <c r="E72" i="7"/>
  <c r="E70" i="7"/>
  <c r="E67" i="7"/>
  <c r="E65" i="7"/>
  <c r="E62" i="7"/>
  <c r="E60" i="7"/>
  <c r="E57" i="7"/>
  <c r="E54" i="7" s="1"/>
  <c r="E50" i="7"/>
  <c r="E48" i="7"/>
  <c r="E43" i="7"/>
  <c r="E39" i="7"/>
  <c r="E36" i="7"/>
  <c r="E35" i="7" s="1"/>
  <c r="E31" i="7"/>
  <c r="E28" i="7"/>
  <c r="E27" i="7" s="1"/>
  <c r="E24" i="7"/>
  <c r="E23" i="7" s="1"/>
  <c r="E20" i="7"/>
  <c r="E17" i="7"/>
  <c r="E16" i="7" s="1"/>
  <c r="E12" i="7"/>
  <c r="E11" i="7" s="1"/>
  <c r="E59" i="7" l="1"/>
  <c r="E69" i="7"/>
  <c r="F69" i="7"/>
  <c r="E80" i="7"/>
  <c r="E131" i="7"/>
  <c r="F118" i="7"/>
  <c r="F117" i="7" s="1"/>
  <c r="F131" i="7"/>
  <c r="E10" i="7"/>
  <c r="F10" i="7"/>
  <c r="E118" i="7"/>
  <c r="E117" i="7" s="1"/>
  <c r="E93" i="7"/>
  <c r="E125" i="7"/>
  <c r="F59" i="7"/>
  <c r="F47" i="7"/>
  <c r="F93" i="7"/>
  <c r="F137" i="7"/>
  <c r="E86" i="7"/>
  <c r="F125" i="7"/>
  <c r="F86" i="7"/>
  <c r="F80" i="7"/>
  <c r="E47" i="7"/>
  <c r="E137" i="7"/>
  <c r="E64" i="7"/>
  <c r="E53" i="7" s="1"/>
  <c r="F64" i="7"/>
  <c r="E42" i="7"/>
  <c r="F42" i="7"/>
  <c r="F53" i="7" l="1"/>
  <c r="F124" i="7"/>
  <c r="F92" i="7" s="1"/>
  <c r="F79" i="7"/>
  <c r="E124" i="7"/>
  <c r="E92" i="7" s="1"/>
  <c r="E79" i="7"/>
  <c r="I57" i="7" l="1"/>
  <c r="I54" i="7" s="1"/>
  <c r="H57" i="7"/>
  <c r="H54" i="7" s="1"/>
  <c r="G57" i="7"/>
  <c r="G54" i="7" s="1"/>
  <c r="I141" i="7"/>
  <c r="H141" i="7"/>
  <c r="I138" i="7"/>
  <c r="H138" i="7"/>
  <c r="I135" i="7"/>
  <c r="H135" i="7"/>
  <c r="I132" i="7"/>
  <c r="H132" i="7"/>
  <c r="I129" i="7"/>
  <c r="H129" i="7"/>
  <c r="I126" i="7"/>
  <c r="H126" i="7"/>
  <c r="G126" i="7"/>
  <c r="G141" i="7"/>
  <c r="G138" i="7"/>
  <c r="G135" i="7"/>
  <c r="G132" i="7"/>
  <c r="G129" i="7"/>
  <c r="I121" i="7"/>
  <c r="H121" i="7"/>
  <c r="I119" i="7"/>
  <c r="H119" i="7"/>
  <c r="G121" i="7"/>
  <c r="G119" i="7"/>
  <c r="I114" i="7"/>
  <c r="I113" i="7" s="1"/>
  <c r="H114" i="7"/>
  <c r="H113" i="7" s="1"/>
  <c r="I110" i="7"/>
  <c r="I109" i="7" s="1"/>
  <c r="H110" i="7"/>
  <c r="H109" i="7" s="1"/>
  <c r="I104" i="7"/>
  <c r="I103" i="7" s="1"/>
  <c r="H104" i="7"/>
  <c r="H103" i="7" s="1"/>
  <c r="I99" i="7"/>
  <c r="I98" i="7" s="1"/>
  <c r="H99" i="7"/>
  <c r="H98" i="7" s="1"/>
  <c r="I95" i="7"/>
  <c r="I94" i="7" s="1"/>
  <c r="H95" i="7"/>
  <c r="H94" i="7" s="1"/>
  <c r="G114" i="7"/>
  <c r="G113" i="7" s="1"/>
  <c r="G110" i="7"/>
  <c r="G109" i="7" s="1"/>
  <c r="G104" i="7"/>
  <c r="G103" i="7" s="1"/>
  <c r="G99" i="7"/>
  <c r="G98" i="7" s="1"/>
  <c r="G95" i="7"/>
  <c r="G94" i="7" s="1"/>
  <c r="I90" i="7"/>
  <c r="H90" i="7"/>
  <c r="I87" i="7"/>
  <c r="H87" i="7"/>
  <c r="I84" i="7"/>
  <c r="H84" i="7"/>
  <c r="I81" i="7"/>
  <c r="H81" i="7"/>
  <c r="G90" i="7"/>
  <c r="G87" i="7"/>
  <c r="G84" i="7"/>
  <c r="G81" i="7"/>
  <c r="I72" i="7"/>
  <c r="H72" i="7"/>
  <c r="I70" i="7"/>
  <c r="H70" i="7"/>
  <c r="I67" i="7"/>
  <c r="H67" i="7"/>
  <c r="I65" i="7"/>
  <c r="H65" i="7"/>
  <c r="I62" i="7"/>
  <c r="H62" i="7"/>
  <c r="I60" i="7"/>
  <c r="H60" i="7"/>
  <c r="G72" i="7"/>
  <c r="G70" i="7"/>
  <c r="G67" i="7"/>
  <c r="G65" i="7"/>
  <c r="G62" i="7"/>
  <c r="G60" i="7"/>
  <c r="I50" i="7"/>
  <c r="I48" i="7"/>
  <c r="I43" i="7"/>
  <c r="I39" i="7"/>
  <c r="I36" i="7"/>
  <c r="I35" i="7" s="1"/>
  <c r="I32" i="7"/>
  <c r="I31" i="7" s="1"/>
  <c r="I28" i="7"/>
  <c r="I27" i="7" s="1"/>
  <c r="I23" i="7"/>
  <c r="I20" i="7"/>
  <c r="I17" i="7"/>
  <c r="I16" i="7" s="1"/>
  <c r="I12" i="7"/>
  <c r="I11" i="7" s="1"/>
  <c r="H50" i="7"/>
  <c r="H48" i="7"/>
  <c r="H43" i="7"/>
  <c r="H39" i="7"/>
  <c r="H36" i="7"/>
  <c r="H35" i="7" s="1"/>
  <c r="H32" i="7"/>
  <c r="H31" i="7" s="1"/>
  <c r="H28" i="7"/>
  <c r="H27" i="7" s="1"/>
  <c r="H23" i="7"/>
  <c r="H20" i="7"/>
  <c r="H17" i="7"/>
  <c r="H16" i="7" s="1"/>
  <c r="H12" i="7"/>
  <c r="H11" i="7" s="1"/>
  <c r="G50" i="7"/>
  <c r="G48" i="7"/>
  <c r="G43" i="7"/>
  <c r="G42" i="7" s="1"/>
  <c r="G39" i="7"/>
  <c r="G36" i="7"/>
  <c r="G35" i="7" s="1"/>
  <c r="G32" i="7"/>
  <c r="G31" i="7" s="1"/>
  <c r="G28" i="7"/>
  <c r="G27" i="7" s="1"/>
  <c r="G20" i="7"/>
  <c r="G17" i="7"/>
  <c r="G16" i="7" s="1"/>
  <c r="G12" i="7"/>
  <c r="G11" i="7" s="1"/>
  <c r="D6" i="8"/>
  <c r="D5" i="8" s="1"/>
  <c r="C6" i="8"/>
  <c r="C5" i="8" s="1"/>
  <c r="B6" i="8"/>
  <c r="B5" i="8" s="1"/>
  <c r="G69" i="7" l="1"/>
  <c r="I69" i="7"/>
  <c r="H125" i="7"/>
  <c r="H69" i="7"/>
  <c r="H42" i="7"/>
  <c r="I118" i="7"/>
  <c r="I117" i="7" s="1"/>
  <c r="H59" i="7"/>
  <c r="I59" i="7"/>
  <c r="I53" i="7" s="1"/>
  <c r="I80" i="7"/>
  <c r="I86" i="7"/>
  <c r="G86" i="7"/>
  <c r="H137" i="7"/>
  <c r="G118" i="7"/>
  <c r="G117" i="7" s="1"/>
  <c r="H86" i="7"/>
  <c r="G80" i="7"/>
  <c r="H80" i="7"/>
  <c r="G64" i="7"/>
  <c r="G59" i="7"/>
  <c r="I125" i="7"/>
  <c r="I131" i="7"/>
  <c r="G131" i="7"/>
  <c r="G125" i="7"/>
  <c r="H64" i="7"/>
  <c r="I42" i="7"/>
  <c r="I64" i="7"/>
  <c r="H131" i="7"/>
  <c r="I137" i="7"/>
  <c r="G137" i="7"/>
  <c r="H118" i="7"/>
  <c r="H117" i="7" s="1"/>
  <c r="H47" i="7"/>
  <c r="I47" i="7"/>
  <c r="I10" i="7"/>
  <c r="H10" i="7"/>
  <c r="G10" i="7"/>
  <c r="G47" i="7"/>
  <c r="H53" i="7" l="1"/>
  <c r="G53" i="7"/>
  <c r="H93" i="7"/>
  <c r="G93" i="7"/>
  <c r="I93" i="7"/>
  <c r="G79" i="7"/>
  <c r="I79" i="7"/>
  <c r="H124" i="7"/>
  <c r="H79" i="7"/>
  <c r="G124" i="7"/>
  <c r="I124" i="7"/>
  <c r="H92" i="7" l="1"/>
  <c r="I92" i="7"/>
  <c r="G92" i="7"/>
  <c r="F13" i="1"/>
  <c r="F10" i="1"/>
  <c r="J13" i="1"/>
  <c r="I13" i="1"/>
  <c r="H13" i="1"/>
  <c r="G13" i="1"/>
  <c r="I10" i="1"/>
  <c r="H10" i="1"/>
  <c r="G10" i="1"/>
  <c r="F14" i="1" l="1"/>
  <c r="J14" i="1"/>
  <c r="G14" i="1"/>
  <c r="I14" i="1"/>
  <c r="H14" i="1"/>
  <c r="E38" i="7" l="1"/>
  <c r="E9" i="7" s="1"/>
  <c r="E7" i="7" s="1"/>
  <c r="I38" i="7" l="1"/>
  <c r="I9" i="7" s="1"/>
  <c r="I7" i="7" s="1"/>
  <c r="G38" i="7"/>
  <c r="G9" i="7" s="1"/>
  <c r="G7" i="7" s="1"/>
  <c r="H38" i="7"/>
  <c r="H9" i="7" s="1"/>
  <c r="H7" i="7" s="1"/>
  <c r="F38" i="7"/>
  <c r="F9" i="7" s="1"/>
  <c r="F7" i="7" s="1"/>
  <c r="G24" i="1"/>
</calcChain>
</file>

<file path=xl/sharedStrings.xml><?xml version="1.0" encoding="utf-8"?>
<sst xmlns="http://schemas.openxmlformats.org/spreadsheetml/2006/main" count="445" uniqueCount="253">
  <si>
    <t>PRIHODI UKUPNO</t>
  </si>
  <si>
    <t>RASHODI UKUPNO</t>
  </si>
  <si>
    <t>RAZLIKA - VIŠAK / MANJAK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</si>
  <si>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</si>
  <si>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</si>
  <si>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</si>
  <si>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</si>
  <si>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</si>
  <si>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</si>
  <si>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</si>
  <si>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</si>
  <si>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</si>
  <si>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</si>
  <si>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</si>
  <si>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</si>
  <si>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</si>
  <si>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B. RAČUN FINANCIRANJA</t>
  </si>
  <si>
    <t>Primici od financijske imovine i zaduživanja</t>
  </si>
  <si>
    <t>Izdaci za financijsku imovinu i otplate zajmova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</si>
  <si>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</si>
  <si>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</si>
  <si>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</si>
  <si>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</si>
  <si>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</si>
  <si>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</si>
  <si>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B) SAŽETAK RAČUNA FINANCIRANJA</t>
  </si>
  <si>
    <t>Pomoći iz inozemstva i od subjekata unutar općeg proračuna</t>
  </si>
  <si>
    <t>…</t>
  </si>
  <si>
    <t>Ostale pomoći</t>
  </si>
  <si>
    <t>Ostali prihodi za posebne namjene</t>
  </si>
  <si>
    <t>PRIJENOS SREDSTAVA IZ PRETHODNE GODINE</t>
  </si>
  <si>
    <t>PRIJENOS SREDSTAVA U SLJEDEĆU GODINU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</si>
  <si>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</si>
  <si>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</si>
  <si>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</si>
  <si>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</si>
  <si>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</si>
  <si>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</si>
  <si>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</si>
  <si>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Sredstva učešća za pomoći</t>
  </si>
  <si>
    <t>Europski fond za regionalni razvoj (ERDF)</t>
  </si>
  <si>
    <t>Europski socijalni fond (ESF)</t>
  </si>
  <si>
    <t>Donacije</t>
  </si>
  <si>
    <t>Pomoći EU</t>
  </si>
  <si>
    <t>Mehanizam za oporavak i otpornost</t>
  </si>
  <si>
    <t>Financijski rashodi</t>
  </si>
  <si>
    <t>Ostali rashodi</t>
  </si>
  <si>
    <t>Rashodi za nabavu proizvedene dugotrajne imovine</t>
  </si>
  <si>
    <t>Prihodi od nefinancijske imovine</t>
  </si>
  <si>
    <t>Rashodi za dodatna ulaganja na nefinancijskoj imovini</t>
  </si>
  <si>
    <t>43 Ostali prihodi za posebne namjene</t>
  </si>
  <si>
    <t>51 Pomoći EU</t>
  </si>
  <si>
    <t>52 Ostale pomoći</t>
  </si>
  <si>
    <t>561 Europski socijalni fond (ESF)</t>
  </si>
  <si>
    <t>563 Europski fond za regionalni razvoj (ERDF)</t>
  </si>
  <si>
    <t>5761 Fond solidarnosti Europske unije - potres ožujak 2020.</t>
  </si>
  <si>
    <t>581 Mehanizam za oporavak i otpornost</t>
  </si>
  <si>
    <t>61 Donacije</t>
  </si>
  <si>
    <t>71 Prihodi od nefinancijske imovine</t>
  </si>
  <si>
    <t>4 Prihodi za posebne namjene</t>
  </si>
  <si>
    <t>5 Pomoći</t>
  </si>
  <si>
    <t xml:space="preserve">6 Donacije </t>
  </si>
  <si>
    <t xml:space="preserve">7 Prihodi od prodaje ili zamjene nefinancijske imovine i naknade s naslova osiguranja </t>
  </si>
  <si>
    <t>07 Zdravstvo</t>
  </si>
  <si>
    <t>073 Bolničke službe</t>
  </si>
  <si>
    <t>Ostale refundacije iz pomoći EU</t>
  </si>
  <si>
    <t>KLINIČKI BOLNIČKI CENTAR SESTRE MILOSRDNICE - IZRAVNA KAPITALNA ULAGANJA</t>
  </si>
  <si>
    <t>OPERATIVNI PROGRAM KONKURENTNOSTI I KOHEZIJA</t>
  </si>
  <si>
    <t>SANACIJA ŠTETA OD POTRESA</t>
  </si>
  <si>
    <t>Fond solidarnosti Europske unije - potres ožujak 2020.</t>
  </si>
  <si>
    <t xml:space="preserve"> K895002</t>
  </si>
  <si>
    <t xml:space="preserve"> K895004</t>
  </si>
  <si>
    <t xml:space="preserve"> K895007</t>
  </si>
  <si>
    <t>T895005</t>
  </si>
  <si>
    <t>OPERATIVNI PROGRAM UČINKOVITI LJUDSKI POTENCIJALI - OPTIMIZACIJA I POBOLJŠANJE UČINKOVITOSTI RADIOLOŠKE DIJAGNOSTIKE U SUSTAVU ZDRAVSTVA REPUBLIKE HRVATSKE - RADIOLOŠKI EDUKACIJSKI CENTAR</t>
  </si>
  <si>
    <t>A895001</t>
  </si>
  <si>
    <t xml:space="preserve">ADMINISTRACIJA I UPRAVLJANJE </t>
  </si>
  <si>
    <t>A895003</t>
  </si>
  <si>
    <t>PROVEDBA PREVENTIVNIH PROGRAMA - KLINIČKI BOLNIČKI CENTAR SESTRE MILOSRDNICE</t>
  </si>
  <si>
    <t>T895006</t>
  </si>
  <si>
    <t>POVEĆANJE KAPACITETA CYBER SIGURNOSTI KBC SESTRE MILOSRDNICE</t>
  </si>
  <si>
    <t xml:space="preserve">559 Ostale refundacije </t>
  </si>
  <si>
    <t>Fond solidarnosti Europske unije - potres prosinac 2020.</t>
  </si>
  <si>
    <t>5762 Fond solidarnosti Europske unije - potres prosinac 2020.</t>
  </si>
  <si>
    <t>MINISTARSTVO ZDRAVSTVA</t>
  </si>
  <si>
    <t>Prihodi od imovine</t>
  </si>
  <si>
    <t>Prihodi od upravnih i administrativnih pristojbi, pristojbi po posebnim propisima i naknada</t>
  </si>
  <si>
    <t>Kazne, upravne mjere i ostali prihodi</t>
  </si>
  <si>
    <t>PROGRAM 3602</t>
  </si>
  <si>
    <t>INVESTICIJE U ZDRAVSTVENU INFRASTRUKTURU</t>
  </si>
  <si>
    <t>PROGRAM 3605</t>
  </si>
  <si>
    <t>SIGURNOST GRAĐANA I PRAVA NA ZDRAVSTVENE USLUGE</t>
  </si>
  <si>
    <t>ZAŠTITA ZDRAVLJA</t>
  </si>
  <si>
    <t>096</t>
  </si>
  <si>
    <t>Zdravstvene ustanove u vlasništvu države</t>
  </si>
  <si>
    <t>Klinički bolnički centar Sestre milosrdnice</t>
  </si>
  <si>
    <t>IZVRŠENJE                               2022.</t>
  </si>
  <si>
    <t>TEKUĆI PLAN                              2023.</t>
  </si>
  <si>
    <t>PLAN                                        ZA 2024.</t>
  </si>
  <si>
    <t>PROJEKCIJA ZA 2026.</t>
  </si>
  <si>
    <t>PROJEKCIJA                                ZA 2025.</t>
  </si>
  <si>
    <t>IZVRŠENJE              2022.</t>
  </si>
  <si>
    <t>PLAN 
ZA 2024.</t>
  </si>
  <si>
    <t>PROJEKCIJA                        ZA 2025.</t>
  </si>
  <si>
    <t>PROJEKCIJA                        ZA 2026.</t>
  </si>
  <si>
    <t>UKUPNO PRIHODI</t>
  </si>
  <si>
    <t>UKUPNO RASHODI</t>
  </si>
  <si>
    <t>A2. PRIHODI I RASHODI PREMA IZVORIMA FINANCIRANJA</t>
  </si>
  <si>
    <t xml:space="preserve">IZVRŠENJE                          2022.  </t>
  </si>
  <si>
    <t>TEKUĆI PLAN                  2023.</t>
  </si>
  <si>
    <t>PLAN                                         ZA 2024.</t>
  </si>
  <si>
    <t>PROJEKCIJA  
ZA 2025.</t>
  </si>
  <si>
    <t>PROJEKCIJA 
ZA 2026.</t>
  </si>
  <si>
    <t>A3. RASHODI PREMA FUNKCIJSKOJ KLASIFIKACIJI</t>
  </si>
  <si>
    <t>UKUPNO PRIMICI</t>
  </si>
  <si>
    <t>B2. RAČUN FINANCIRANJA PREMA IZVORIMA FINANCIRANJA</t>
  </si>
  <si>
    <t>A) SAŽETAK RAČUNA PRIHODA I RASHODA</t>
  </si>
  <si>
    <t>RAZLIKA PRIMITAKA I IZDATAKA</t>
  </si>
  <si>
    <t>5765131 FSEU potres ožujak 2020. predfinanciran iz vlastitih prihoda</t>
  </si>
  <si>
    <t>Tekuće pomoći od institucija i tijela EU</t>
  </si>
  <si>
    <t>Kapitalne pomoći od institucija i tijela EU</t>
  </si>
  <si>
    <t>Tekuće pomoći od izvanproračunskih korisnika</t>
  </si>
  <si>
    <t>Tekući prijenosi između proračunskih korisnika istog proračuna</t>
  </si>
  <si>
    <t xml:space="preserve">Kamate na oročena sredstva i depozite po viđenju </t>
  </si>
  <si>
    <t>Prihodi od zateznih kamata</t>
  </si>
  <si>
    <t>Prihodi od pruženih usluga</t>
  </si>
  <si>
    <t>Tekuće donacije</t>
  </si>
  <si>
    <t xml:space="preserve">Kapitalne donacije </t>
  </si>
  <si>
    <t>Prihodi iz nadležnog proračuna za financiranje rashoda za nabavu nefinancijske imovine</t>
  </si>
  <si>
    <t xml:space="preserve">Prihodi iz nadležnog proračuna za financiranje rashoda poslovanja </t>
  </si>
  <si>
    <t>Prihodi od HZZO-a na temelju ugovorenih obveza</t>
  </si>
  <si>
    <t>Ostali prihodi</t>
  </si>
  <si>
    <t>Stambeni objekti</t>
  </si>
  <si>
    <t>Prihodi od nadležnog proračuna i od HZZO-a temeljem ugovornih obveza</t>
  </si>
  <si>
    <t>Plaće za redovan rad</t>
  </si>
  <si>
    <t>Ostali rashodi za zaposlene</t>
  </si>
  <si>
    <t>Doprinosi za obvezno zdravstveno osiguranje</t>
  </si>
  <si>
    <t>Službena putovanja</t>
  </si>
  <si>
    <t>Naknade za prijevoz, za rad na terenu i odvojeni život</t>
  </si>
  <si>
    <t>Stručno usavršavanje zaposlenika</t>
  </si>
  <si>
    <t xml:space="preserve">Uredski materijal i ostali materijalni rashodi </t>
  </si>
  <si>
    <t>Ostale naknade troškova zaposlenima</t>
  </si>
  <si>
    <t>Materijal i sirovine</t>
  </si>
  <si>
    <t>Energija</t>
  </si>
  <si>
    <t>Materijal i dijelovi za tekuće i investicijsko održavanje</t>
  </si>
  <si>
    <t>Sitni inventar i auto gume</t>
  </si>
  <si>
    <t>Usluga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</si>
  <si>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</si>
  <si>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</si>
  <si>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</si>
  <si>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</si>
  <si>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</si>
  <si>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</si>
  <si>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</si>
  <si>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</si>
  <si>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</si>
  <si>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tijela, povjerenstava i slično</t>
  </si>
  <si>
    <t xml:space="preserve">Premije osiguranja </t>
  </si>
  <si>
    <t>Reprezentacija</t>
  </si>
  <si>
    <t>Članarine i norme</t>
  </si>
  <si>
    <t xml:space="preserve">Pristojbe i naknade </t>
  </si>
  <si>
    <t>Troškovi sudskih postupaka</t>
  </si>
  <si>
    <t>Ostali nespomenuti rashodi poslovanja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</si>
  <si>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</si>
  <si>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</si>
  <si>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</si>
  <si>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</si>
  <si>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Licence</t>
  </si>
  <si>
    <t>Ostala prava</t>
  </si>
  <si>
    <t>Poslovni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</si>
  <si>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</si>
  <si>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</si>
  <si>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</si>
  <si>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</si>
  <si>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</si>
  <si>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</si>
  <si>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</si>
  <si>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 u cestovnom prometu</t>
  </si>
  <si>
    <t>Knjige</t>
  </si>
  <si>
    <t>Umjetnička djela (izložena u galerijama, muzejima i slično)</t>
  </si>
  <si>
    <t>Ulaganja u računalne programe</t>
  </si>
  <si>
    <t>Ostala nematerijalna proizvedena imovina</t>
  </si>
  <si>
    <t>Dodatna ulaganja na građevinskim objektima</t>
  </si>
  <si>
    <t xml:space="preserve">Dodatna ulaganja na postrojenjima i opremi </t>
  </si>
  <si>
    <t>Vlastiti prihodi - prijenos</t>
  </si>
  <si>
    <t>Prihodi za posebne namjene - prijenos</t>
  </si>
  <si>
    <t>Ostale pomoći - prijenos</t>
  </si>
  <si>
    <t>Donacije - prijenos</t>
  </si>
  <si>
    <t>Prihodi od nefinancijske imovine - prijenos</t>
  </si>
  <si>
    <t>UKUPNI PRIJENOS SREDSTAVA IZ PRETHODNE GODINE</t>
  </si>
  <si>
    <t>PRIJENOS SREDSTAVA U SLIJEDEĆU GODINU</t>
  </si>
  <si>
    <t>UKUPNI PRIJENOS SREDSTAVA U SLIJEDEĆU GODINU</t>
  </si>
  <si>
    <t>Prihodi za posebne namjene</t>
  </si>
  <si>
    <t>Pomoći</t>
  </si>
  <si>
    <t xml:space="preserve">Donacije </t>
  </si>
  <si>
    <t xml:space="preserve">Prihodi od prodaje ili zamjene nefinancijske imovine i naknade s naslova osiguranja </t>
  </si>
  <si>
    <t xml:space="preserve">Ostale refundacije </t>
  </si>
  <si>
    <t xml:space="preserve"> Europski socijalni fond (ESF)</t>
  </si>
  <si>
    <t xml:space="preserve"> Europski fond za regionalni razvoj (ERDF)</t>
  </si>
  <si>
    <t xml:space="preserve"> Fond solidarnosti Europske unije - potres ožujak 2020.</t>
  </si>
  <si>
    <t xml:space="preserve"> Fond solidarnosti Europske unije - potres prosinac 2020.</t>
  </si>
  <si>
    <t xml:space="preserve"> Mehanizam za oporavak i otpornost</t>
  </si>
  <si>
    <t xml:space="preserve"> Prihodi za posebne namjene</t>
  </si>
  <si>
    <t xml:space="preserve"> Vlastiti prihodi</t>
  </si>
  <si>
    <t>Plaće za posebne uvjete rada</t>
  </si>
  <si>
    <t>Tekuće pomoći proračunskim korisnicima iz proračuna koji im nije nadležan</t>
  </si>
  <si>
    <t>Kapitalne prijenosi između proračunskih korisnika istog proračuna</t>
  </si>
  <si>
    <t>Tekući prijenosi između proračunskih korisnika istog proračuna temeljem prijenosa EU sredstava</t>
  </si>
  <si>
    <t>** Napomena: Iznosi u stupcu Izvršenje 2022.  preračunava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</si>
  <si>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</si>
  <si>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</si>
  <si>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</si>
  <si>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</si>
  <si>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</si>
  <si>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</si>
  <si>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I OPĆI DIO</t>
  </si>
  <si>
    <t>TEKUĆI PLAN
 2023.</t>
  </si>
  <si>
    <t>Ostali nespomenuti prihodi</t>
  </si>
  <si>
    <t>Prihodi od prodaje proizvoda i robe te pruženih usluga i prihodi od donacija te povrati po protestiranim jamstvima</t>
  </si>
  <si>
    <t xml:space="preserve">Ugovorne kazne i ostale naknade šteta </t>
  </si>
  <si>
    <t>Pomoći od međunarodnih organizacija te institucija i tijela EU</t>
  </si>
  <si>
    <t>Pomoći od izvanproračunskih korisnika</t>
  </si>
  <si>
    <t>Pomoći proračunskim korisnicima iz proračuna koji im nije nadležan</t>
  </si>
  <si>
    <t>Prijenos između proračunskih korisnika istog proračuna</t>
  </si>
  <si>
    <t>Prihodi od financijske imovine</t>
  </si>
  <si>
    <t>Prihodi po posebnim propisima</t>
  </si>
  <si>
    <t xml:space="preserve">Prihodi od prodaje proizvoda i robe te pruženih usluga </t>
  </si>
  <si>
    <t>Prihodi iz nadležnog proračuna za financiranje redovne djelatnosti proračunskih korisnika</t>
  </si>
  <si>
    <t>Prihodi od HZZOa na temelju ugovornih obveza</t>
  </si>
  <si>
    <t>Prihodi od prodaje građevinskih objekata</t>
  </si>
  <si>
    <t>Donacije od pravnih i fizičkih osoba izvan općeg proračuna i povrat donacija po protestiranim jamstvima</t>
  </si>
  <si>
    <t>Namjenski primici</t>
  </si>
  <si>
    <t>Namjenski primici - NPOO</t>
  </si>
  <si>
    <t>Namjenski primici NPOO</t>
  </si>
  <si>
    <t>Razred/Skupina/ Podskupina/Odjeljak</t>
  </si>
  <si>
    <t>Plaće (Bruto)</t>
  </si>
  <si>
    <t>FINANCIJSKI PLAN KLINIČKOG BOLNIČKOG CENTRA SESTRE MILOSRDNICE
ZA 2024. I PROJEKCIJE ZA 2025. I 2026. GODINU</t>
  </si>
  <si>
    <t>Doprinosi na plaće</t>
  </si>
  <si>
    <t>Naknade troškova zaposlenima</t>
  </si>
  <si>
    <t>Rashodi za materijal i energiju</t>
  </si>
  <si>
    <t>Rashodi za usluge</t>
  </si>
  <si>
    <t>Kamate za primljene kredite i zajmove od kreditnih i ostalih financijskih institucija izvan javnog sektora</t>
  </si>
  <si>
    <t>Kazne, penali i naknade štete</t>
  </si>
  <si>
    <t>Nematerijalna imovina</t>
  </si>
  <si>
    <t>Građevinski objekti</t>
  </si>
  <si>
    <t>Postrojenja i oprema</t>
  </si>
  <si>
    <t>Prijevozna sredstva</t>
  </si>
  <si>
    <t>Knjige, umjetnička djela i ostale izložbene vrijednosti</t>
  </si>
  <si>
    <t>Nematerijalna proizvedena imovina</t>
  </si>
  <si>
    <t>A1. PRIHODI I RASHODI PREMA EKONOMSKOJ KLASIFIKACIJI</t>
  </si>
  <si>
    <t>Prihodi od pozitivnih tečajnih razlika i razlika zbog primjene valutne klauzule</t>
  </si>
  <si>
    <t>B1.  RAČUN FINANCIRANJA PREMA EKONOMSKOJ KLASIFIKACIJI</t>
  </si>
  <si>
    <t>II  POSEBNI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</si>
</sst>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1">
    <xf numFmtId="0" fontId="0" fillId="0" borderId="0"/>
    <xf numFmtId="4" fontId="18" fillId="5" borderId="6" applyNumberFormat="0" applyProtection="0">
      <alignment vertical="center"/>
    </xf>
    <xf numFmtId="0" fontId="18" fillId="11" borderId="6" applyNumberFormat="0" applyProtection="0">
      <alignment horizontal="left" vertical="center" indent="1" justifyLastLine="1"/>
    </xf>
    <xf numFmtId="0" fontId="18" fillId="12" borderId="6" applyNumberFormat="0" applyProtection="0">
      <alignment horizontal="left" vertical="center" indent="1" justifyLastLine="1"/>
    </xf>
    <xf numFmtId="4" fontId="18" fillId="14" borderId="6" applyNumberFormat="0" applyProtection="0">
      <alignment horizontal="left" vertical="center" indent="1" justifyLastLine="1"/>
    </xf>
    <xf numFmtId="4" fontId="18" fillId="14" borderId="6" applyNumberFormat="0" applyProtection="0">
      <alignment horizontal="left" vertical="center" indent="1" justifyLastLine="1"/>
    </xf>
    <xf numFmtId="0" fontId="18" fillId="15" borderId="6" applyNumberFormat="0" applyProtection="0">
      <alignment horizontal="left" vertical="center" indent="1" justifyLastLine="1"/>
    </xf>
    <xf numFmtId="4" fontId="18" fillId="0" borderId="6" applyNumberFormat="0" applyProtection="0">
      <alignment horizontal="right" vertical="center"/>
    </xf>
    <xf numFmtId="4" fontId="32" fillId="16" borderId="12" applyNumberFormat="0" applyProtection="0">
      <alignment vertical="center"/>
    </xf>
    <xf numFmtId="0" fontId="9" fillId="0" borderId="0"/>
    <xf numFmtId="4" fontId="33" fillId="11" borderId="12" applyNumberFormat="0" applyProtection="0">
      <alignment horizontal="right" vertical="center"/>
    </xf>
  </cellStyleXfs>
  <cellXfs count="269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/>
    </xf>
    <xf numFmtId="3" fontId="0" fillId="0" borderId="0" xfId="0" applyNumberFormat="1"/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2" fontId="11" fillId="8" borderId="3" xfId="3" quotePrefix="1" applyNumberFormat="1" applyFont="1" applyFill="1" applyBorder="1" applyAlignment="1">
      <alignment horizontal="left" vertical="center" wrapText="1"/>
    </xf>
    <xf numFmtId="0" fontId="0" fillId="0" borderId="0" xfId="0" applyBorder="1"/>
    <xf numFmtId="3" fontId="1" fillId="0" borderId="0" xfId="0" applyNumberFormat="1" applyFont="1"/>
    <xf numFmtId="0" fontId="0" fillId="0" borderId="0" xfId="0" applyFill="1"/>
    <xf numFmtId="4" fontId="11" fillId="8" borderId="3" xfId="3" quotePrefix="1" applyNumberFormat="1" applyFont="1" applyFill="1" applyBorder="1" applyAlignment="1">
      <alignment horizontal="right" vertical="center" wrapText="1"/>
    </xf>
    <xf numFmtId="4" fontId="6" fillId="6" borderId="4" xfId="0" applyNumberFormat="1" applyFont="1" applyFill="1" applyBorder="1" applyAlignment="1" applyProtection="1">
      <alignment horizontal="right" vertical="center" wrapText="1"/>
    </xf>
    <xf numFmtId="4" fontId="3" fillId="7" borderId="4" xfId="0" applyNumberFormat="1" applyFont="1" applyFill="1" applyBorder="1" applyAlignment="1" applyProtection="1">
      <alignment horizontal="right" vertical="center" wrapText="1"/>
    </xf>
    <xf numFmtId="4" fontId="3" fillId="10" borderId="4" xfId="0" applyNumberFormat="1" applyFont="1" applyFill="1" applyBorder="1" applyAlignment="1" applyProtection="1">
      <alignment horizontal="right" vertical="center" wrapText="1"/>
    </xf>
    <xf numFmtId="4" fontId="3" fillId="9" borderId="4" xfId="0" applyNumberFormat="1" applyFont="1" applyFill="1" applyBorder="1" applyAlignment="1" applyProtection="1">
      <alignment horizontal="right" vertical="center" wrapText="1"/>
    </xf>
    <xf numFmtId="4" fontId="6" fillId="8" borderId="4" xfId="0" applyNumberFormat="1" applyFont="1" applyFill="1" applyBorder="1" applyAlignment="1" applyProtection="1">
      <alignment horizontal="right" vertical="center" wrapText="1"/>
    </xf>
    <xf numFmtId="3" fontId="6" fillId="13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" fontId="6" fillId="8" borderId="3" xfId="0" applyNumberFormat="1" applyFont="1" applyFill="1" applyBorder="1" applyAlignment="1">
      <alignment horizontal="right" vertical="center"/>
    </xf>
    <xf numFmtId="3" fontId="6" fillId="6" borderId="3" xfId="0" applyNumberFormat="1" applyFont="1" applyFill="1" applyBorder="1" applyAlignment="1">
      <alignment horizontal="righ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13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3" fillId="7" borderId="3" xfId="0" applyNumberFormat="1" applyFont="1" applyFill="1" applyBorder="1" applyAlignment="1" applyProtection="1">
      <alignment horizontal="left" vertical="center" wrapText="1"/>
    </xf>
    <xf numFmtId="0" fontId="3" fillId="10" borderId="3" xfId="0" applyNumberFormat="1" applyFont="1" applyFill="1" applyBorder="1" applyAlignment="1" applyProtection="1">
      <alignment horizontal="left"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2" fontId="3" fillId="9" borderId="3" xfId="0" applyNumberFormat="1" applyFont="1" applyFill="1" applyBorder="1" applyAlignment="1" applyProtection="1">
      <alignment horizontal="left" vertical="center" wrapText="1"/>
    </xf>
    <xf numFmtId="0" fontId="6" fillId="8" borderId="3" xfId="0" applyNumberFormat="1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3" fontId="3" fillId="7" borderId="3" xfId="0" applyNumberFormat="1" applyFont="1" applyFill="1" applyBorder="1" applyAlignment="1">
      <alignment horizontal="right" vertical="center"/>
    </xf>
    <xf numFmtId="3" fontId="3" fillId="10" borderId="3" xfId="0" applyNumberFormat="1" applyFont="1" applyFill="1" applyBorder="1" applyAlignment="1">
      <alignment horizontal="right" vertical="center"/>
    </xf>
    <xf numFmtId="3" fontId="3" fillId="9" borderId="3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" fillId="0" borderId="3" xfId="0" applyFont="1" applyBorder="1"/>
    <xf numFmtId="0" fontId="0" fillId="0" borderId="3" xfId="0" applyBorder="1"/>
    <xf numFmtId="3" fontId="6" fillId="3" borderId="1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wrapText="1"/>
    </xf>
    <xf numFmtId="0" fontId="11" fillId="2" borderId="0" xfId="0" quotePrefix="1" applyFont="1" applyFill="1" applyBorder="1" applyAlignment="1">
      <alignment vertical="center"/>
    </xf>
    <xf numFmtId="0" fontId="0" fillId="0" borderId="0" xfId="0" applyFon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3" fontId="1" fillId="0" borderId="0" xfId="0" applyNumberFormat="1" applyFont="1" applyAlignment="1">
      <alignment horizontal="right" vertical="center"/>
    </xf>
    <xf numFmtId="0" fontId="19" fillId="0" borderId="0" xfId="0" applyFont="1" applyBorder="1"/>
    <xf numFmtId="0" fontId="19" fillId="0" borderId="0" xfId="0" applyFont="1"/>
    <xf numFmtId="0" fontId="20" fillId="0" borderId="3" xfId="0" applyFont="1" applyBorder="1"/>
    <xf numFmtId="0" fontId="21" fillId="0" borderId="3" xfId="0" applyFont="1" applyFill="1" applyBorder="1" applyAlignment="1">
      <alignment horizontal="left"/>
    </xf>
    <xf numFmtId="3" fontId="19" fillId="0" borderId="3" xfId="0" applyNumberFormat="1" applyFont="1" applyBorder="1" applyAlignment="1">
      <alignment horizontal="right" wrapText="1"/>
    </xf>
    <xf numFmtId="0" fontId="11" fillId="2" borderId="0" xfId="0" quotePrefix="1" applyFont="1" applyFill="1" applyBorder="1" applyAlignment="1">
      <alignment horizontal="right" wrapText="1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4" fontId="3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/>
    <xf numFmtId="0" fontId="19" fillId="0" borderId="0" xfId="0" applyFont="1" applyFill="1"/>
    <xf numFmtId="0" fontId="10" fillId="0" borderId="0" xfId="0" applyNumberFormat="1" applyFont="1" applyFill="1" applyBorder="1" applyAlignment="1" applyProtection="1">
      <alignment horizontal="left" vertical="center" wrapText="1" indent="1"/>
    </xf>
    <xf numFmtId="3" fontId="6" fillId="0" borderId="0" xfId="0" applyNumberFormat="1" applyFont="1" applyFill="1" applyBorder="1" applyAlignment="1">
      <alignment horizontal="right"/>
    </xf>
    <xf numFmtId="0" fontId="19" fillId="0" borderId="3" xfId="0" applyFont="1" applyFill="1" applyBorder="1"/>
    <xf numFmtId="0" fontId="19" fillId="0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vertical="center" indent="1"/>
    </xf>
    <xf numFmtId="4" fontId="3" fillId="0" borderId="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19" fillId="0" borderId="3" xfId="0" applyNumberFormat="1" applyFont="1" applyFill="1" applyBorder="1" applyAlignment="1">
      <alignment horizontal="right" wrapText="1"/>
    </xf>
    <xf numFmtId="4" fontId="19" fillId="0" borderId="3" xfId="0" applyNumberFormat="1" applyFont="1" applyFill="1" applyBorder="1" applyAlignment="1">
      <alignment horizontal="right"/>
    </xf>
    <xf numFmtId="0" fontId="19" fillId="0" borderId="3" xfId="0" applyFont="1" applyFill="1" applyBorder="1" applyAlignment="1">
      <alignment horizontal="right" wrapText="1"/>
    </xf>
    <xf numFmtId="0" fontId="0" fillId="0" borderId="0" xfId="0" applyFill="1" applyAlignment="1"/>
    <xf numFmtId="0" fontId="22" fillId="0" borderId="0" xfId="0" applyFont="1" applyAlignment="1">
      <alignment horizontal="right" vertical="center"/>
    </xf>
    <xf numFmtId="4" fontId="22" fillId="0" borderId="0" xfId="0" applyNumberFormat="1" applyFont="1" applyBorder="1" applyAlignment="1">
      <alignment horizontal="right" vertical="center"/>
    </xf>
    <xf numFmtId="0" fontId="23" fillId="0" borderId="0" xfId="0" applyFont="1"/>
    <xf numFmtId="4" fontId="23" fillId="0" borderId="0" xfId="0" applyNumberFormat="1" applyFont="1"/>
    <xf numFmtId="3" fontId="23" fillId="0" borderId="0" xfId="0" applyNumberFormat="1" applyFont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right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3" fontId="3" fillId="2" borderId="7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vertical="center" wrapText="1"/>
    </xf>
    <xf numFmtId="4" fontId="6" fillId="13" borderId="3" xfId="0" applyNumberFormat="1" applyFont="1" applyFill="1" applyBorder="1" applyAlignment="1" applyProtection="1">
      <alignment horizontal="right" vertical="center" wrapText="1"/>
    </xf>
    <xf numFmtId="4" fontId="6" fillId="6" borderId="3" xfId="0" applyNumberFormat="1" applyFont="1" applyFill="1" applyBorder="1" applyAlignment="1" applyProtection="1">
      <alignment horizontal="right" vertical="center" wrapText="1"/>
    </xf>
    <xf numFmtId="4" fontId="3" fillId="7" borderId="3" xfId="0" applyNumberFormat="1" applyFont="1" applyFill="1" applyBorder="1" applyAlignment="1" applyProtection="1">
      <alignment horizontal="right" vertical="center" wrapText="1"/>
    </xf>
    <xf numFmtId="4" fontId="3" fillId="10" borderId="3" xfId="0" applyNumberFormat="1" applyFont="1" applyFill="1" applyBorder="1" applyAlignment="1" applyProtection="1">
      <alignment horizontal="right" vertical="center" wrapText="1"/>
    </xf>
    <xf numFmtId="4" fontId="3" fillId="9" borderId="3" xfId="0" applyNumberFormat="1" applyFont="1" applyFill="1" applyBorder="1" applyAlignment="1" applyProtection="1">
      <alignment horizontal="right" vertical="center" wrapText="1"/>
    </xf>
    <xf numFmtId="3" fontId="3" fillId="10" borderId="8" xfId="0" applyNumberFormat="1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/>
    </xf>
    <xf numFmtId="3" fontId="6" fillId="13" borderId="9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3" fontId="6" fillId="8" borderId="9" xfId="0" applyNumberFormat="1" applyFont="1" applyFill="1" applyBorder="1" applyAlignment="1">
      <alignment horizontal="right" vertical="center"/>
    </xf>
    <xf numFmtId="3" fontId="6" fillId="6" borderId="9" xfId="0" applyNumberFormat="1" applyFont="1" applyFill="1" applyBorder="1" applyAlignment="1">
      <alignment horizontal="right" vertical="center"/>
    </xf>
    <xf numFmtId="3" fontId="3" fillId="7" borderId="9" xfId="0" applyNumberFormat="1" applyFont="1" applyFill="1" applyBorder="1" applyAlignment="1">
      <alignment horizontal="right" vertical="center"/>
    </xf>
    <xf numFmtId="3" fontId="3" fillId="10" borderId="9" xfId="0" applyNumberFormat="1" applyFont="1" applyFill="1" applyBorder="1" applyAlignment="1">
      <alignment horizontal="right" vertical="center"/>
    </xf>
    <xf numFmtId="3" fontId="3" fillId="9" borderId="9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/>
    </xf>
    <xf numFmtId="0" fontId="13" fillId="4" borderId="10" xfId="0" applyFont="1" applyFill="1" applyBorder="1" applyAlignment="1">
      <alignment vertical="center" wrapText="1"/>
    </xf>
    <xf numFmtId="0" fontId="6" fillId="4" borderId="10" xfId="0" applyNumberFormat="1" applyFont="1" applyFill="1" applyBorder="1" applyAlignment="1" applyProtection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>
      <alignment horizontal="left"/>
    </xf>
    <xf numFmtId="0" fontId="25" fillId="0" borderId="3" xfId="0" applyFont="1" applyFill="1" applyBorder="1" applyAlignment="1">
      <alignment horizontal="left"/>
    </xf>
    <xf numFmtId="4" fontId="26" fillId="0" borderId="3" xfId="0" applyNumberFormat="1" applyFont="1" applyFill="1" applyBorder="1" applyAlignment="1">
      <alignment horizontal="right"/>
    </xf>
    <xf numFmtId="3" fontId="26" fillId="0" borderId="3" xfId="0" applyNumberFormat="1" applyFont="1" applyFill="1" applyBorder="1" applyAlignment="1">
      <alignment horizontal="right"/>
    </xf>
    <xf numFmtId="3" fontId="26" fillId="0" borderId="3" xfId="0" applyNumberFormat="1" applyFont="1" applyFill="1" applyBorder="1" applyAlignment="1" applyProtection="1">
      <alignment horizontal="right" wrapText="1"/>
    </xf>
    <xf numFmtId="3" fontId="26" fillId="0" borderId="3" xfId="0" applyNumberFormat="1" applyFont="1" applyFill="1" applyBorder="1" applyAlignment="1" applyProtection="1">
      <alignment horizontal="right" vertical="center" wrapText="1"/>
    </xf>
    <xf numFmtId="0" fontId="20" fillId="0" borderId="3" xfId="0" applyFont="1" applyFill="1" applyBorder="1" applyAlignment="1">
      <alignment horizontal="left"/>
    </xf>
    <xf numFmtId="0" fontId="30" fillId="0" borderId="3" xfId="0" quotePrefix="1" applyFont="1" applyFill="1" applyBorder="1" applyAlignment="1">
      <alignment horizontal="left" vertical="center"/>
    </xf>
    <xf numFmtId="0" fontId="28" fillId="2" borderId="3" xfId="0" applyNumberFormat="1" applyFont="1" applyFill="1" applyBorder="1" applyAlignment="1" applyProtection="1">
      <alignment horizontal="left" vertical="center" wrapText="1"/>
    </xf>
    <xf numFmtId="0" fontId="30" fillId="0" borderId="3" xfId="0" quotePrefix="1" applyFont="1" applyFill="1" applyBorder="1" applyAlignment="1">
      <alignment horizontal="left" vertical="center" wrapText="1" indent="1"/>
    </xf>
    <xf numFmtId="0" fontId="30" fillId="0" borderId="3" xfId="0" applyFont="1" applyFill="1" applyBorder="1" applyAlignment="1">
      <alignment horizontal="left" vertical="center" indent="1"/>
    </xf>
    <xf numFmtId="0" fontId="28" fillId="0" borderId="3" xfId="0" applyNumberFormat="1" applyFont="1" applyFill="1" applyBorder="1" applyAlignment="1" applyProtection="1">
      <alignment horizontal="left" vertical="center" wrapText="1"/>
    </xf>
    <xf numFmtId="0" fontId="30" fillId="0" borderId="3" xfId="0" applyNumberFormat="1" applyFont="1" applyFill="1" applyBorder="1" applyAlignment="1" applyProtection="1">
      <alignment horizontal="left" vertical="center" wrapText="1" indent="1"/>
    </xf>
    <xf numFmtId="0" fontId="20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 wrapText="1"/>
    </xf>
    <xf numFmtId="4" fontId="27" fillId="0" borderId="3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0" fontId="20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vertical="center"/>
    </xf>
    <xf numFmtId="0" fontId="28" fillId="0" borderId="2" xfId="0" quotePrefix="1" applyFont="1" applyFill="1" applyBorder="1" applyAlignment="1">
      <alignment vertical="center"/>
    </xf>
    <xf numFmtId="3" fontId="29" fillId="0" borderId="3" xfId="0" applyNumberFormat="1" applyFont="1" applyFill="1" applyBorder="1" applyAlignment="1">
      <alignment horizontal="right"/>
    </xf>
    <xf numFmtId="0" fontId="26" fillId="0" borderId="3" xfId="0" applyNumberFormat="1" applyFont="1" applyFill="1" applyBorder="1" applyAlignment="1" applyProtection="1">
      <alignment horizontal="center" vertical="center" wrapText="1"/>
    </xf>
    <xf numFmtId="3" fontId="26" fillId="2" borderId="3" xfId="0" applyNumberFormat="1" applyFont="1" applyFill="1" applyBorder="1" applyAlignment="1">
      <alignment horizontal="right" wrapText="1"/>
    </xf>
    <xf numFmtId="3" fontId="26" fillId="2" borderId="3" xfId="0" applyNumberFormat="1" applyFont="1" applyFill="1" applyBorder="1" applyAlignment="1">
      <alignment horizontal="right"/>
    </xf>
    <xf numFmtId="0" fontId="29" fillId="2" borderId="3" xfId="0" applyNumberFormat="1" applyFont="1" applyFill="1" applyBorder="1" applyAlignment="1" applyProtection="1">
      <alignment horizontal="left" vertical="center" wrapText="1"/>
    </xf>
    <xf numFmtId="3" fontId="27" fillId="0" borderId="3" xfId="0" applyNumberFormat="1" applyFont="1" applyFill="1" applyBorder="1" applyAlignment="1">
      <alignment horizontal="right" wrapText="1"/>
    </xf>
    <xf numFmtId="0" fontId="29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3" fontId="26" fillId="0" borderId="3" xfId="0" applyNumberFormat="1" applyFont="1" applyFill="1" applyBorder="1" applyAlignment="1">
      <alignment horizontal="right" wrapText="1"/>
    </xf>
    <xf numFmtId="0" fontId="26" fillId="0" borderId="3" xfId="0" applyNumberFormat="1" applyFont="1" applyFill="1" applyBorder="1" applyAlignment="1" applyProtection="1">
      <alignment horizontal="left" vertical="center" wrapText="1"/>
    </xf>
    <xf numFmtId="4" fontId="26" fillId="0" borderId="3" xfId="0" applyNumberFormat="1" applyFont="1" applyFill="1" applyBorder="1" applyAlignment="1" applyProtection="1">
      <alignment horizontal="right" vertical="center" wrapText="1"/>
    </xf>
    <xf numFmtId="3" fontId="19" fillId="0" borderId="3" xfId="0" applyNumberFormat="1" applyFont="1" applyFill="1" applyBorder="1" applyAlignment="1">
      <alignment horizontal="right"/>
    </xf>
    <xf numFmtId="0" fontId="28" fillId="2" borderId="3" xfId="0" applyFont="1" applyFill="1" applyBorder="1" applyAlignment="1">
      <alignment horizontal="left" vertical="center"/>
    </xf>
    <xf numFmtId="0" fontId="28" fillId="2" borderId="3" xfId="0" applyNumberFormat="1" applyFont="1" applyFill="1" applyBorder="1" applyAlignment="1" applyProtection="1">
      <alignment vertical="center" wrapText="1"/>
    </xf>
    <xf numFmtId="3" fontId="27" fillId="0" borderId="3" xfId="0" applyNumberFormat="1" applyFont="1" applyFill="1" applyBorder="1" applyAlignment="1" applyProtection="1">
      <alignment horizontal="right" wrapText="1"/>
    </xf>
    <xf numFmtId="3" fontId="6" fillId="13" borderId="3" xfId="0" applyNumberFormat="1" applyFont="1" applyFill="1" applyBorder="1" applyAlignment="1" applyProtection="1">
      <alignment horizontal="right" vertical="center" wrapText="1"/>
    </xf>
    <xf numFmtId="3" fontId="11" fillId="8" borderId="3" xfId="3" quotePrefix="1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 applyProtection="1">
      <alignment horizontal="right" vertical="center" wrapText="1"/>
    </xf>
    <xf numFmtId="3" fontId="3" fillId="7" borderId="3" xfId="0" applyNumberFormat="1" applyFont="1" applyFill="1" applyBorder="1" applyAlignment="1" applyProtection="1">
      <alignment horizontal="right" vertical="center" wrapText="1"/>
    </xf>
    <xf numFmtId="3" fontId="3" fillId="10" borderId="3" xfId="0" applyNumberFormat="1" applyFont="1" applyFill="1" applyBorder="1" applyAlignment="1" applyProtection="1">
      <alignment horizontal="right" vertical="center" wrapText="1"/>
    </xf>
    <xf numFmtId="3" fontId="3" fillId="9" borderId="3" xfId="0" applyNumberFormat="1" applyFont="1" applyFill="1" applyBorder="1" applyAlignment="1" applyProtection="1">
      <alignment horizontal="right" vertical="center" wrapText="1"/>
    </xf>
    <xf numFmtId="3" fontId="3" fillId="7" borderId="4" xfId="0" applyNumberFormat="1" applyFont="1" applyFill="1" applyBorder="1" applyAlignment="1" applyProtection="1">
      <alignment horizontal="right" vertical="center" wrapText="1"/>
    </xf>
    <xf numFmtId="3" fontId="3" fillId="10" borderId="4" xfId="0" applyNumberFormat="1" applyFont="1" applyFill="1" applyBorder="1" applyAlignment="1" applyProtection="1">
      <alignment horizontal="right" vertical="center" wrapText="1"/>
    </xf>
    <xf numFmtId="3" fontId="3" fillId="9" borderId="4" xfId="0" applyNumberFormat="1" applyFont="1" applyFill="1" applyBorder="1" applyAlignment="1" applyProtection="1">
      <alignment horizontal="right" vertical="center" wrapText="1"/>
    </xf>
    <xf numFmtId="3" fontId="6" fillId="6" borderId="4" xfId="0" applyNumberFormat="1" applyFont="1" applyFill="1" applyBorder="1" applyAlignment="1" applyProtection="1">
      <alignment horizontal="right" vertical="center" wrapText="1"/>
    </xf>
    <xf numFmtId="3" fontId="3" fillId="10" borderId="2" xfId="0" applyNumberFormat="1" applyFont="1" applyFill="1" applyBorder="1" applyAlignment="1" applyProtection="1">
      <alignment horizontal="right" vertical="center" wrapText="1"/>
    </xf>
    <xf numFmtId="3" fontId="6" fillId="8" borderId="4" xfId="0" applyNumberFormat="1" applyFont="1" applyFill="1" applyBorder="1" applyAlignment="1" applyProtection="1">
      <alignment horizontal="right" vertical="center" wrapText="1"/>
    </xf>
    <xf numFmtId="0" fontId="28" fillId="2" borderId="3" xfId="0" applyNumberFormat="1" applyFont="1" applyFill="1" applyBorder="1" applyAlignment="1" applyProtection="1">
      <alignment horizontal="left" vertical="center" wrapText="1" indent="2"/>
    </xf>
    <xf numFmtId="0" fontId="28" fillId="2" borderId="3" xfId="0" quotePrefix="1" applyFont="1" applyFill="1" applyBorder="1" applyAlignment="1">
      <alignment horizontal="left" vertical="center" indent="2"/>
    </xf>
    <xf numFmtId="0" fontId="28" fillId="2" borderId="3" xfId="0" applyNumberFormat="1" applyFont="1" applyFill="1" applyBorder="1" applyAlignment="1" applyProtection="1">
      <alignment horizontal="left" vertical="center" wrapText="1" indent="4"/>
    </xf>
    <xf numFmtId="0" fontId="29" fillId="2" borderId="3" xfId="0" applyNumberFormat="1" applyFont="1" applyFill="1" applyBorder="1" applyAlignment="1" applyProtection="1">
      <alignment horizontal="left" vertical="center" wrapText="1" indent="6"/>
    </xf>
    <xf numFmtId="0" fontId="29" fillId="2" borderId="3" xfId="0" quotePrefix="1" applyFont="1" applyFill="1" applyBorder="1" applyAlignment="1">
      <alignment horizontal="left" vertical="center" indent="6"/>
    </xf>
    <xf numFmtId="0" fontId="28" fillId="2" borderId="3" xfId="0" quotePrefix="1" applyFont="1" applyFill="1" applyBorder="1" applyAlignment="1">
      <alignment horizontal="left" vertical="center" indent="4"/>
    </xf>
    <xf numFmtId="0" fontId="30" fillId="2" borderId="3" xfId="0" quotePrefix="1" applyFont="1" applyFill="1" applyBorder="1" applyAlignment="1">
      <alignment horizontal="left" vertical="center" indent="6"/>
    </xf>
    <xf numFmtId="4" fontId="28" fillId="2" borderId="3" xfId="0" quotePrefix="1" applyNumberFormat="1" applyFont="1" applyFill="1" applyBorder="1" applyAlignment="1">
      <alignment horizontal="left" vertical="center" wrapText="1"/>
    </xf>
    <xf numFmtId="0" fontId="29" fillId="0" borderId="3" xfId="0" quotePrefix="1" applyFont="1" applyFill="1" applyBorder="1" applyAlignment="1">
      <alignment horizontal="left" vertical="center" wrapText="1"/>
    </xf>
    <xf numFmtId="0" fontId="28" fillId="0" borderId="3" xfId="0" quotePrefix="1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left" vertical="center" wrapText="1"/>
    </xf>
    <xf numFmtId="0" fontId="28" fillId="2" borderId="3" xfId="0" quotePrefix="1" applyFont="1" applyFill="1" applyBorder="1" applyAlignment="1">
      <alignment horizontal="left" vertical="center" wrapText="1"/>
    </xf>
    <xf numFmtId="3" fontId="20" fillId="0" borderId="3" xfId="0" applyNumberFormat="1" applyFont="1" applyBorder="1" applyAlignment="1">
      <alignment horizontal="right" wrapText="1"/>
    </xf>
    <xf numFmtId="0" fontId="28" fillId="2" borderId="3" xfId="0" applyNumberFormat="1" applyFont="1" applyFill="1" applyBorder="1" applyAlignment="1" applyProtection="1">
      <alignment horizontal="left" vertical="center" wrapText="1" indent="1"/>
    </xf>
    <xf numFmtId="0" fontId="28" fillId="2" borderId="3" xfId="0" quotePrefix="1" applyFont="1" applyFill="1" applyBorder="1" applyAlignment="1">
      <alignment horizontal="left" vertical="center" indent="1"/>
    </xf>
    <xf numFmtId="2" fontId="31" fillId="0" borderId="3" xfId="2" quotePrefix="1" applyNumberFormat="1" applyFont="1" applyFill="1" applyBorder="1" applyAlignment="1">
      <alignment vertical="center" wrapText="1"/>
    </xf>
    <xf numFmtId="3" fontId="20" fillId="0" borderId="3" xfId="0" applyNumberFormat="1" applyFont="1" applyFill="1" applyBorder="1" applyAlignment="1">
      <alignment horizontal="right" wrapText="1"/>
    </xf>
    <xf numFmtId="0" fontId="28" fillId="2" borderId="3" xfId="0" quotePrefix="1" applyFont="1" applyFill="1" applyBorder="1" applyAlignment="1">
      <alignment horizontal="left" vertical="center" indent="6"/>
    </xf>
    <xf numFmtId="0" fontId="28" fillId="2" borderId="3" xfId="0" applyNumberFormat="1" applyFont="1" applyFill="1" applyBorder="1" applyAlignment="1" applyProtection="1">
      <alignment horizontal="left" vertical="center" wrapText="1" indent="3"/>
    </xf>
    <xf numFmtId="0" fontId="28" fillId="2" borderId="3" xfId="0" quotePrefix="1" applyFont="1" applyFill="1" applyBorder="1" applyAlignment="1">
      <alignment horizontal="left" vertical="center" indent="3"/>
    </xf>
    <xf numFmtId="0" fontId="12" fillId="0" borderId="0" xfId="0" applyFont="1" applyAlignment="1">
      <alignment vertical="center" wrapText="1"/>
    </xf>
    <xf numFmtId="0" fontId="28" fillId="0" borderId="3" xfId="0" applyNumberFormat="1" applyFont="1" applyFill="1" applyBorder="1" applyAlignment="1" applyProtection="1">
      <alignment horizontal="left" vertical="center" wrapText="1" indent="1"/>
    </xf>
    <xf numFmtId="0" fontId="0" fillId="0" borderId="0" xfId="0" applyFont="1" applyFill="1"/>
    <xf numFmtId="0" fontId="19" fillId="0" borderId="3" xfId="0" applyFont="1" applyBorder="1"/>
    <xf numFmtId="0" fontId="19" fillId="0" borderId="3" xfId="0" applyFont="1" applyBorder="1" applyAlignment="1">
      <alignment wrapText="1"/>
    </xf>
    <xf numFmtId="2" fontId="29" fillId="0" borderId="3" xfId="2" quotePrefix="1" applyNumberFormat="1" applyFont="1" applyFill="1" applyBorder="1" applyAlignment="1">
      <alignment vertical="center" wrapText="1"/>
    </xf>
    <xf numFmtId="0" fontId="29" fillId="2" borderId="3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horizontal="left" vertical="center" wrapText="1"/>
    </xf>
    <xf numFmtId="4" fontId="26" fillId="2" borderId="3" xfId="0" applyNumberFormat="1" applyFont="1" applyFill="1" applyBorder="1" applyAlignment="1">
      <alignment horizontal="right"/>
    </xf>
    <xf numFmtId="3" fontId="19" fillId="0" borderId="3" xfId="0" applyNumberFormat="1" applyFont="1" applyFill="1" applyBorder="1" applyAlignment="1">
      <alignment horizontal="righ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1" fillId="3" borderId="2" xfId="0" applyNumberFormat="1" applyFont="1" applyFill="1" applyBorder="1" applyAlignment="1" applyProtection="1">
      <alignment horizontal="left" vertical="center" wrapText="1"/>
    </xf>
    <xf numFmtId="0" fontId="11" fillId="3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4" xfId="0" quotePrefix="1" applyFont="1" applyBorder="1" applyAlignment="1">
      <alignment horizontal="left" wrapText="1"/>
    </xf>
    <xf numFmtId="0" fontId="0" fillId="0" borderId="0" xfId="0" applyAlignment="1">
      <alignment vertical="center" wrapText="1"/>
    </xf>
    <xf numFmtId="0" fontId="28" fillId="0" borderId="0" xfId="0" quotePrefix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center" vertical="center" wrapText="1"/>
    </xf>
    <xf numFmtId="0" fontId="28" fillId="0" borderId="2" xfId="0" quotePrefix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 indent="7"/>
    </xf>
    <xf numFmtId="0" fontId="3" fillId="7" borderId="3" xfId="0" applyNumberFormat="1" applyFont="1" applyFill="1" applyBorder="1" applyAlignment="1" applyProtection="1">
      <alignment horizontal="left" vertical="center" wrapText="1" indent="5"/>
    </xf>
    <xf numFmtId="0" fontId="3" fillId="10" borderId="3" xfId="0" applyNumberFormat="1" applyFont="1" applyFill="1" applyBorder="1" applyAlignment="1" applyProtection="1">
      <alignment horizontal="left" vertical="center" wrapText="1" indent="6"/>
    </xf>
    <xf numFmtId="0" fontId="6" fillId="6" borderId="3" xfId="0" applyNumberFormat="1" applyFont="1" applyFill="1" applyBorder="1" applyAlignment="1" applyProtection="1">
      <alignment horizontal="left" vertical="center" wrapText="1" indent="4"/>
    </xf>
    <xf numFmtId="0" fontId="6" fillId="8" borderId="3" xfId="0" applyNumberFormat="1" applyFont="1" applyFill="1" applyBorder="1" applyAlignment="1" applyProtection="1">
      <alignment horizontal="left" vertical="center" wrapText="1" indent="3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6" fillId="8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1" fontId="6" fillId="0" borderId="3" xfId="0" applyNumberFormat="1" applyFont="1" applyFill="1" applyBorder="1" applyAlignment="1" applyProtection="1">
      <alignment horizontal="left" vertical="center" wrapText="1" indent="2"/>
    </xf>
    <xf numFmtId="49" fontId="6" fillId="2" borderId="7" xfId="0" applyNumberFormat="1" applyFont="1" applyFill="1" applyBorder="1" applyAlignment="1" applyProtection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left" vertical="center" wrapText="1" indent="1"/>
    </xf>
    <xf numFmtId="1" fontId="6" fillId="13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4" borderId="13" xfId="0" applyNumberFormat="1" applyFont="1" applyFill="1" applyBorder="1" applyAlignment="1" applyProtection="1">
      <alignment horizontal="center" vertical="center" wrapText="1"/>
    </xf>
    <xf numFmtId="0" fontId="6" fillId="4" borderId="14" xfId="0" applyNumberFormat="1" applyFont="1" applyFill="1" applyBorder="1" applyAlignment="1" applyProtection="1">
      <alignment horizontal="center" vertical="center" wrapText="1"/>
    </xf>
  </cellXfs>
  <cellStyles count="11">
    <cellStyle name="Normalno" xfId="0" builtinId="0"/>
    <cellStyle name="Normalno 2 2" xfId="9"/>
    <cellStyle name="SAPBEXaggData" xfId="1"/>
    <cellStyle name="SAPBEXaggData 2" xfId="8"/>
    <cellStyle name="SAPBEXchaText" xfId="4"/>
    <cellStyle name="SAPBEXHLevel1" xfId="6"/>
    <cellStyle name="SAPBEXHLevel2" xfId="3"/>
    <cellStyle name="SAPBEXHLevel3" xfId="2"/>
    <cellStyle name="SAPBEXstdData" xfId="7"/>
    <cellStyle name="SAPBEXstdData 3" xfId="10"/>
    <cellStyle name="SAPBEXstdItem" xfId="5"/>
  </cellStyles>
  <dxfs count="0"/>
  <tableStyles count="0" defaultTableStyle="TableStyleMedium2" defaultPivotStyle="PivotStyleLight16"/>
  <colors>
    <mruColors>
      <color rgb="FFFFCCFF"/>
      <color rgb="FFFF99FF"/>
      <color rgb="FFFF3399"/>
      <color rgb="FF99CC00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J29"/>
  <sheetViews>
    <sheetView zoomScale="90" zoomScaleNormal="90" workbookViewId="0">
      <selection activeCell="I20" sqref="I20"/>
    </sheetView>
  </sheetViews>
  <sheetFormatPr defaultRowHeight="15" x14ac:dyDescent="0.25"/>
  <cols>
    <col min="5" max="5" width="25.28515625" customWidth="1"/>
    <col min="6" max="6" width="24.5703125" customWidth="1"/>
    <col min="7" max="7" width="25.28515625" customWidth="1"/>
    <col min="8" max="8" width="23.28515625" customWidth="1"/>
    <col min="9" max="9" width="25.28515625" customWidth="1"/>
    <col min="10" max="10" width="19.42578125" customWidth="1"/>
    <col min="12" max="12" width="11" customWidth="1"/>
    <col min="13" max="13" width="11.140625" bestFit="1" customWidth="1"/>
  </cols>
  <sheetData>
    <row r="1" spans="1:10" ht="36.75" customHeight="1" x14ac:dyDescent="0.25">
      <c r="A1" s="237" t="s">
        <v>236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ht="18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77"/>
    </row>
    <row r="3" spans="1:10" ht="18.75" customHeight="1" x14ac:dyDescent="0.25">
      <c r="A3" s="237" t="s">
        <v>215</v>
      </c>
      <c r="B3" s="237"/>
      <c r="C3" s="237"/>
      <c r="D3" s="237"/>
      <c r="E3" s="237"/>
      <c r="F3" s="237"/>
      <c r="G3" s="237"/>
      <c r="H3" s="237"/>
      <c r="I3" s="237"/>
      <c r="J3" s="237"/>
    </row>
    <row r="4" spans="1:10" ht="18" x14ac:dyDescent="0.25">
      <c r="A4" s="25"/>
      <c r="B4" s="25"/>
      <c r="C4" s="25"/>
      <c r="D4" s="25"/>
      <c r="E4" s="25"/>
      <c r="F4" s="25"/>
      <c r="G4" s="25"/>
      <c r="H4" s="78"/>
      <c r="I4" s="78"/>
      <c r="J4" s="77"/>
    </row>
    <row r="5" spans="1:10" ht="22.5" customHeight="1" x14ac:dyDescent="0.25">
      <c r="A5" s="237" t="s">
        <v>116</v>
      </c>
      <c r="B5" s="237"/>
      <c r="C5" s="237"/>
      <c r="D5" s="237"/>
      <c r="E5" s="237"/>
      <c r="F5" s="237"/>
      <c r="G5" s="237"/>
      <c r="H5" s="237"/>
      <c r="I5" s="237"/>
      <c r="J5" s="237"/>
    </row>
    <row r="6" spans="1:10" ht="18" x14ac:dyDescent="0.25">
      <c r="A6" s="25"/>
      <c r="B6" s="23"/>
      <c r="C6" s="23"/>
      <c r="D6" s="23"/>
      <c r="E6" s="5"/>
      <c r="F6" s="6"/>
      <c r="G6" s="6"/>
      <c r="H6" s="6"/>
      <c r="I6" s="79"/>
      <c r="J6" s="77"/>
    </row>
    <row r="7" spans="1:10" ht="25.5" x14ac:dyDescent="0.25">
      <c r="A7" s="28"/>
      <c r="B7" s="29"/>
      <c r="C7" s="29"/>
      <c r="D7" s="30"/>
      <c r="E7" s="31"/>
      <c r="F7" s="2" t="s">
        <v>96</v>
      </c>
      <c r="G7" s="2" t="s">
        <v>97</v>
      </c>
      <c r="H7" s="2" t="s">
        <v>98</v>
      </c>
      <c r="I7" s="2" t="s">
        <v>100</v>
      </c>
      <c r="J7" s="2" t="s">
        <v>99</v>
      </c>
    </row>
    <row r="8" spans="1:10" x14ac:dyDescent="0.25">
      <c r="A8" s="238" t="s">
        <v>209</v>
      </c>
      <c r="B8" s="233"/>
      <c r="C8" s="233"/>
      <c r="D8" s="233"/>
      <c r="E8" s="229"/>
      <c r="F8" s="90">
        <v>222470468.47999999</v>
      </c>
      <c r="G8" s="33">
        <v>274909754</v>
      </c>
      <c r="H8" s="33">
        <v>284019357</v>
      </c>
      <c r="I8" s="33">
        <v>283728481</v>
      </c>
      <c r="J8" s="33">
        <v>302229964</v>
      </c>
    </row>
    <row r="9" spans="1:10" x14ac:dyDescent="0.25">
      <c r="A9" s="242" t="s">
        <v>210</v>
      </c>
      <c r="B9" s="229"/>
      <c r="C9" s="229"/>
      <c r="D9" s="229"/>
      <c r="E9" s="229"/>
      <c r="F9" s="90">
        <v>1144.27</v>
      </c>
      <c r="G9" s="33">
        <v>1195</v>
      </c>
      <c r="H9" s="33">
        <v>1181</v>
      </c>
      <c r="I9" s="33">
        <v>1168</v>
      </c>
      <c r="J9" s="33">
        <v>1158</v>
      </c>
    </row>
    <row r="10" spans="1:10" x14ac:dyDescent="0.25">
      <c r="A10" s="234" t="s">
        <v>0</v>
      </c>
      <c r="B10" s="231"/>
      <c r="C10" s="231"/>
      <c r="D10" s="231"/>
      <c r="E10" s="241"/>
      <c r="F10" s="91">
        <f>SUM(F8:F9)</f>
        <v>222471612.75</v>
      </c>
      <c r="G10" s="32">
        <f t="shared" ref="G10:J10" si="0">G8+G9</f>
        <v>274910949</v>
      </c>
      <c r="H10" s="32">
        <f t="shared" si="0"/>
        <v>284020538</v>
      </c>
      <c r="I10" s="32">
        <f t="shared" si="0"/>
        <v>283729649</v>
      </c>
      <c r="J10" s="32">
        <f t="shared" si="0"/>
        <v>302231122</v>
      </c>
    </row>
    <row r="11" spans="1:10" x14ac:dyDescent="0.25">
      <c r="A11" s="232" t="s">
        <v>211</v>
      </c>
      <c r="B11" s="233"/>
      <c r="C11" s="233"/>
      <c r="D11" s="233"/>
      <c r="E11" s="233"/>
      <c r="F11" s="90">
        <v>217879219.88</v>
      </c>
      <c r="G11" s="33">
        <v>231176164</v>
      </c>
      <c r="H11" s="33">
        <v>251227247</v>
      </c>
      <c r="I11" s="105">
        <v>270870346</v>
      </c>
      <c r="J11" s="105">
        <v>292121331</v>
      </c>
    </row>
    <row r="12" spans="1:10" x14ac:dyDescent="0.25">
      <c r="A12" s="228" t="s">
        <v>212</v>
      </c>
      <c r="B12" s="229"/>
      <c r="C12" s="229"/>
      <c r="D12" s="229"/>
      <c r="E12" s="229"/>
      <c r="F12" s="90">
        <v>6282470.5599999996</v>
      </c>
      <c r="G12" s="33">
        <v>44124970</v>
      </c>
      <c r="H12" s="33">
        <v>32774096</v>
      </c>
      <c r="I12" s="105">
        <v>12915431</v>
      </c>
      <c r="J12" s="105">
        <v>10122152</v>
      </c>
    </row>
    <row r="13" spans="1:10" x14ac:dyDescent="0.25">
      <c r="A13" s="35" t="s">
        <v>1</v>
      </c>
      <c r="B13" s="36"/>
      <c r="C13" s="36"/>
      <c r="D13" s="36"/>
      <c r="E13" s="36"/>
      <c r="F13" s="91">
        <f>F11+F12</f>
        <v>224161690.44</v>
      </c>
      <c r="G13" s="32">
        <f t="shared" ref="G13:J13" si="1">G11+G12</f>
        <v>275301134</v>
      </c>
      <c r="H13" s="32">
        <f t="shared" si="1"/>
        <v>284001343</v>
      </c>
      <c r="I13" s="32">
        <f t="shared" si="1"/>
        <v>283785777</v>
      </c>
      <c r="J13" s="32">
        <f t="shared" si="1"/>
        <v>302243483</v>
      </c>
    </row>
    <row r="14" spans="1:10" x14ac:dyDescent="0.25">
      <c r="A14" s="230" t="s">
        <v>2</v>
      </c>
      <c r="B14" s="231"/>
      <c r="C14" s="231"/>
      <c r="D14" s="231"/>
      <c r="E14" s="231"/>
      <c r="F14" s="91">
        <f>F10-F13</f>
        <v>-1690077.6899999976</v>
      </c>
      <c r="G14" s="32">
        <f>G10-G13</f>
        <v>-390185</v>
      </c>
      <c r="H14" s="32">
        <f t="shared" ref="H14:J14" si="2">H10-H13</f>
        <v>19195</v>
      </c>
      <c r="I14" s="32">
        <f t="shared" si="2"/>
        <v>-56128</v>
      </c>
      <c r="J14" s="32">
        <f t="shared" si="2"/>
        <v>-12361</v>
      </c>
    </row>
    <row r="15" spans="1:10" ht="18" x14ac:dyDescent="0.25">
      <c r="A15" s="3"/>
      <c r="B15" s="7"/>
      <c r="C15" s="7"/>
      <c r="D15" s="7"/>
      <c r="E15" s="7"/>
      <c r="F15" s="1"/>
      <c r="G15" s="24"/>
      <c r="H15" s="1"/>
      <c r="I15" s="1"/>
    </row>
    <row r="16" spans="1:10" ht="18" customHeight="1" x14ac:dyDescent="0.25">
      <c r="A16" s="237" t="s">
        <v>25</v>
      </c>
      <c r="B16" s="237"/>
      <c r="C16" s="237"/>
      <c r="D16" s="237"/>
      <c r="E16" s="237"/>
      <c r="F16" s="237"/>
      <c r="G16" s="237"/>
      <c r="H16" s="237"/>
      <c r="I16" s="237"/>
      <c r="J16" s="237"/>
    </row>
    <row r="17" spans="1:10" ht="18" x14ac:dyDescent="0.25">
      <c r="A17" s="25"/>
      <c r="B17" s="23"/>
      <c r="C17" s="23"/>
      <c r="D17" s="23"/>
      <c r="E17" s="23"/>
      <c r="F17" s="24"/>
      <c r="G17" s="24"/>
      <c r="H17" s="24"/>
      <c r="I17" s="24"/>
    </row>
    <row r="18" spans="1:10" ht="25.5" x14ac:dyDescent="0.25">
      <c r="A18" s="28"/>
      <c r="B18" s="29"/>
      <c r="C18" s="29"/>
      <c r="D18" s="30"/>
      <c r="E18" s="31"/>
      <c r="F18" s="2" t="s">
        <v>96</v>
      </c>
      <c r="G18" s="2" t="s">
        <v>97</v>
      </c>
      <c r="H18" s="2" t="s">
        <v>98</v>
      </c>
      <c r="I18" s="2" t="s">
        <v>100</v>
      </c>
      <c r="J18" s="2" t="s">
        <v>99</v>
      </c>
    </row>
    <row r="19" spans="1:10" ht="15.75" customHeight="1" x14ac:dyDescent="0.25">
      <c r="A19" s="238" t="s">
        <v>213</v>
      </c>
      <c r="B19" s="239"/>
      <c r="C19" s="239"/>
      <c r="D19" s="239"/>
      <c r="E19" s="240"/>
      <c r="F19" s="34">
        <v>0</v>
      </c>
      <c r="G19" s="34">
        <v>0</v>
      </c>
      <c r="H19" s="34">
        <v>0</v>
      </c>
      <c r="I19" s="34">
        <v>0</v>
      </c>
      <c r="J19" s="34">
        <v>0</v>
      </c>
    </row>
    <row r="20" spans="1:10" x14ac:dyDescent="0.25">
      <c r="A20" s="238" t="s">
        <v>214</v>
      </c>
      <c r="B20" s="233"/>
      <c r="C20" s="233"/>
      <c r="D20" s="233"/>
      <c r="E20" s="233"/>
      <c r="F20" s="34">
        <v>0</v>
      </c>
      <c r="G20" s="34">
        <v>0</v>
      </c>
      <c r="H20" s="34">
        <v>0</v>
      </c>
      <c r="I20" s="34">
        <v>0</v>
      </c>
      <c r="J20" s="34">
        <v>0</v>
      </c>
    </row>
    <row r="21" spans="1:10" x14ac:dyDescent="0.25">
      <c r="A21" s="234" t="s">
        <v>117</v>
      </c>
      <c r="B21" s="235"/>
      <c r="C21" s="235"/>
      <c r="D21" s="235"/>
      <c r="E21" s="236"/>
      <c r="F21" s="82">
        <v>0</v>
      </c>
      <c r="G21" s="82">
        <f t="shared" ref="G21:J21" si="3">G19-G20</f>
        <v>0</v>
      </c>
      <c r="H21" s="82">
        <f t="shared" si="3"/>
        <v>0</v>
      </c>
      <c r="I21" s="82">
        <f t="shared" si="3"/>
        <v>0</v>
      </c>
      <c r="J21" s="32">
        <f t="shared" si="3"/>
        <v>0</v>
      </c>
    </row>
    <row r="22" spans="1:10" x14ac:dyDescent="0.25">
      <c r="A22" s="245" t="s">
        <v>30</v>
      </c>
      <c r="B22" s="246"/>
      <c r="C22" s="246"/>
      <c r="D22" s="246"/>
      <c r="E22" s="247"/>
      <c r="F22" s="106"/>
      <c r="G22" s="106">
        <v>1919584</v>
      </c>
      <c r="H22" s="106">
        <v>1529399</v>
      </c>
      <c r="I22" s="84">
        <v>1548594</v>
      </c>
      <c r="J22" s="84">
        <v>1492466</v>
      </c>
    </row>
    <row r="23" spans="1:10" x14ac:dyDescent="0.25">
      <c r="A23" s="245" t="s">
        <v>31</v>
      </c>
      <c r="B23" s="246"/>
      <c r="C23" s="246"/>
      <c r="D23" s="246"/>
      <c r="E23" s="247"/>
      <c r="F23" s="106"/>
      <c r="G23" s="106">
        <v>1529399</v>
      </c>
      <c r="H23" s="106">
        <v>-1548594</v>
      </c>
      <c r="I23" s="84">
        <v>-1492466</v>
      </c>
      <c r="J23" s="84">
        <v>-1480105</v>
      </c>
    </row>
    <row r="24" spans="1:10" x14ac:dyDescent="0.25">
      <c r="A24" s="230" t="s">
        <v>3</v>
      </c>
      <c r="B24" s="231"/>
      <c r="C24" s="231"/>
      <c r="D24" s="231"/>
      <c r="E24" s="231"/>
      <c r="F24" s="32"/>
      <c r="G24" s="32">
        <f t="shared" ref="G24" si="4">G22-G23</f>
        <v>390185</v>
      </c>
      <c r="H24" s="32">
        <f>H19+H22+H23</f>
        <v>-19195</v>
      </c>
      <c r="I24" s="32">
        <f t="shared" ref="I24:J24" si="5">I19+I22+I23</f>
        <v>56128</v>
      </c>
      <c r="J24" s="32">
        <f t="shared" si="5"/>
        <v>12361</v>
      </c>
    </row>
    <row r="25" spans="1:10" x14ac:dyDescent="0.25">
      <c r="A25" s="232" t="s">
        <v>4</v>
      </c>
      <c r="B25" s="233"/>
      <c r="C25" s="233"/>
      <c r="D25" s="233"/>
      <c r="E25" s="233"/>
      <c r="F25" s="34"/>
      <c r="G25" s="34">
        <v>0</v>
      </c>
      <c r="H25" s="34">
        <v>0</v>
      </c>
      <c r="I25" s="34">
        <v>0</v>
      </c>
      <c r="J25" s="34">
        <v>0</v>
      </c>
    </row>
    <row r="26" spans="1:10" ht="11.25" customHeight="1" x14ac:dyDescent="0.25">
      <c r="A26" s="18"/>
      <c r="B26" s="19"/>
      <c r="C26" s="19"/>
      <c r="D26" s="19"/>
      <c r="E26" s="19"/>
      <c r="F26" s="20"/>
      <c r="G26" s="20"/>
      <c r="H26" s="20"/>
      <c r="I26" s="20"/>
    </row>
    <row r="27" spans="1:10" ht="21" customHeight="1" x14ac:dyDescent="0.25">
      <c r="A27" s="243" t="s">
        <v>208</v>
      </c>
      <c r="B27" s="244"/>
      <c r="C27" s="244"/>
      <c r="D27" s="244"/>
      <c r="E27" s="244"/>
      <c r="F27" s="244"/>
      <c r="G27" s="244"/>
      <c r="H27" s="244"/>
      <c r="I27" s="244"/>
    </row>
    <row r="28" spans="1:10" ht="15" customHeight="1" x14ac:dyDescent="0.25"/>
    <row r="29" spans="1:10" ht="19.5" customHeight="1" x14ac:dyDescent="0.25"/>
  </sheetData>
  <mergeCells count="18">
    <mergeCell ref="A25:E25"/>
    <mergeCell ref="A27:I27"/>
    <mergeCell ref="A22:E22"/>
    <mergeCell ref="A23:E23"/>
    <mergeCell ref="A20:E20"/>
    <mergeCell ref="A24:E24"/>
    <mergeCell ref="A12:E12"/>
    <mergeCell ref="A14:E14"/>
    <mergeCell ref="A11:E11"/>
    <mergeCell ref="A21:E21"/>
    <mergeCell ref="A1:J1"/>
    <mergeCell ref="A3:J3"/>
    <mergeCell ref="A16:J16"/>
    <mergeCell ref="A5:J5"/>
    <mergeCell ref="A19:E19"/>
    <mergeCell ref="A10:E10"/>
    <mergeCell ref="A8:E8"/>
    <mergeCell ref="A9:E9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Q152"/>
  <sheetViews>
    <sheetView topLeftCell="A43" zoomScale="90" zoomScaleNormal="90" workbookViewId="0">
      <selection activeCell="A51" sqref="A51:XFD51"/>
    </sheetView>
  </sheetViews>
  <sheetFormatPr defaultRowHeight="15" x14ac:dyDescent="0.25"/>
  <cols>
    <col min="1" max="1" width="19.140625" customWidth="1"/>
    <col min="2" max="2" width="63.5703125" customWidth="1"/>
    <col min="3" max="7" width="18.7109375" customWidth="1"/>
  </cols>
  <sheetData>
    <row r="1" spans="1:13" ht="15.75" customHeight="1" x14ac:dyDescent="0.25">
      <c r="A1" s="237" t="s">
        <v>215</v>
      </c>
      <c r="B1" s="237"/>
      <c r="C1" s="237"/>
      <c r="D1" s="237"/>
      <c r="E1" s="237"/>
      <c r="F1" s="237"/>
      <c r="G1" s="237"/>
    </row>
    <row r="2" spans="1:13" ht="18" customHeight="1" x14ac:dyDescent="0.25">
      <c r="A2" s="237" t="s">
        <v>6</v>
      </c>
      <c r="B2" s="237"/>
      <c r="C2" s="237"/>
      <c r="D2" s="237"/>
      <c r="E2" s="237"/>
      <c r="F2" s="237"/>
      <c r="G2" s="237"/>
    </row>
    <row r="3" spans="1:13" ht="9" customHeight="1" x14ac:dyDescent="0.25">
      <c r="A3" s="25"/>
      <c r="B3" s="25"/>
      <c r="C3" s="25"/>
      <c r="D3" s="78"/>
      <c r="E3" s="78"/>
      <c r="F3" s="83"/>
      <c r="G3" s="75"/>
    </row>
    <row r="4" spans="1:13" ht="15.75" customHeight="1" x14ac:dyDescent="0.25">
      <c r="A4" s="237" t="s">
        <v>249</v>
      </c>
      <c r="B4" s="248"/>
      <c r="C4" s="248"/>
      <c r="D4" s="248"/>
      <c r="E4" s="248"/>
      <c r="F4" s="248"/>
      <c r="G4" s="248"/>
      <c r="H4" s="218"/>
      <c r="I4" s="218"/>
      <c r="J4" s="218"/>
      <c r="K4" s="218"/>
      <c r="L4" s="218"/>
      <c r="M4" s="218"/>
    </row>
    <row r="5" spans="1:13" ht="8.25" customHeight="1" x14ac:dyDescent="0.25">
      <c r="A5" s="25"/>
      <c r="B5" s="25"/>
      <c r="C5" s="25"/>
      <c r="D5" s="78"/>
      <c r="E5" s="78"/>
      <c r="F5" s="78"/>
      <c r="G5" s="75"/>
    </row>
    <row r="6" spans="1:13" ht="31.5" customHeight="1" x14ac:dyDescent="0.25">
      <c r="A6" s="22" t="s">
        <v>234</v>
      </c>
      <c r="B6" s="22" t="s">
        <v>5</v>
      </c>
      <c r="C6" s="22" t="s">
        <v>101</v>
      </c>
      <c r="D6" s="22" t="s">
        <v>216</v>
      </c>
      <c r="E6" s="22" t="s">
        <v>102</v>
      </c>
      <c r="F6" s="22" t="s">
        <v>103</v>
      </c>
      <c r="G6" s="22" t="s">
        <v>104</v>
      </c>
    </row>
    <row r="7" spans="1:13" s="45" customFormat="1" ht="15" customHeight="1" x14ac:dyDescent="0.25">
      <c r="A7" s="172"/>
      <c r="B7" s="180" t="s">
        <v>105</v>
      </c>
      <c r="C7" s="152">
        <f>C8+C44</f>
        <v>222471612.7452797</v>
      </c>
      <c r="D7" s="153">
        <f t="shared" ref="D7:G7" si="0">D8+D44</f>
        <v>274910949</v>
      </c>
      <c r="E7" s="173">
        <f t="shared" si="0"/>
        <v>284020538</v>
      </c>
      <c r="F7" s="173">
        <f t="shared" si="0"/>
        <v>283729649</v>
      </c>
      <c r="G7" s="173">
        <f t="shared" si="0"/>
        <v>302231122</v>
      </c>
    </row>
    <row r="8" spans="1:13" s="45" customFormat="1" ht="15" customHeight="1" x14ac:dyDescent="0.25">
      <c r="A8" s="158">
        <v>6</v>
      </c>
      <c r="B8" s="158" t="s">
        <v>9</v>
      </c>
      <c r="C8" s="152">
        <f t="shared" ref="C8" si="1">C9+C21+C26+C29+C35+C41</f>
        <v>222470468.47558695</v>
      </c>
      <c r="D8" s="174">
        <f t="shared" ref="D8:G8" si="2">D9+D21+D26+D29+D35+D41</f>
        <v>274909754</v>
      </c>
      <c r="E8" s="173">
        <f t="shared" si="2"/>
        <v>284019357</v>
      </c>
      <c r="F8" s="173">
        <f t="shared" si="2"/>
        <v>283728481</v>
      </c>
      <c r="G8" s="173">
        <f t="shared" si="2"/>
        <v>302229964</v>
      </c>
    </row>
    <row r="9" spans="1:13" s="45" customFormat="1" ht="15" customHeight="1" x14ac:dyDescent="0.25">
      <c r="A9" s="198">
        <v>63</v>
      </c>
      <c r="B9" s="158" t="s">
        <v>26</v>
      </c>
      <c r="C9" s="226">
        <f>C10+C13+C15+C17</f>
        <v>1908144.6200809607</v>
      </c>
      <c r="D9" s="174">
        <f t="shared" ref="D9:G9" si="3">D10+D13+D15+D17</f>
        <v>44353409</v>
      </c>
      <c r="E9" s="173">
        <f t="shared" si="3"/>
        <v>4487446</v>
      </c>
      <c r="F9" s="173">
        <f t="shared" si="3"/>
        <v>673418</v>
      </c>
      <c r="G9" s="173">
        <f t="shared" si="3"/>
        <v>602542</v>
      </c>
    </row>
    <row r="10" spans="1:13" s="45" customFormat="1" ht="15" customHeight="1" x14ac:dyDescent="0.25">
      <c r="A10" s="200">
        <v>632</v>
      </c>
      <c r="B10" s="158" t="s">
        <v>220</v>
      </c>
      <c r="C10" s="226">
        <f t="shared" ref="C10" si="4">SUM(C11:C12)</f>
        <v>424842.48589820159</v>
      </c>
      <c r="D10" s="174">
        <f t="shared" ref="D10" si="5">SUM(D11:D12)</f>
        <v>35426755</v>
      </c>
      <c r="E10" s="173">
        <f t="shared" ref="E10" si="6">SUM(E11:E12)</f>
        <v>0</v>
      </c>
      <c r="F10" s="173">
        <f t="shared" ref="F10" si="7">SUM(F11:F12)</f>
        <v>0</v>
      </c>
      <c r="G10" s="173">
        <f t="shared" ref="G10" si="8">SUM(G11:G12)</f>
        <v>0</v>
      </c>
    </row>
    <row r="11" spans="1:13" ht="15" customHeight="1" x14ac:dyDescent="0.25">
      <c r="A11" s="201">
        <v>6323</v>
      </c>
      <c r="B11" s="175" t="s">
        <v>119</v>
      </c>
      <c r="C11" s="165">
        <v>115538.06888313757</v>
      </c>
      <c r="D11" s="166">
        <f>42184+980568+54825+1280377+645079+14835</f>
        <v>3017868</v>
      </c>
      <c r="E11" s="176">
        <v>0</v>
      </c>
      <c r="F11" s="176">
        <v>0</v>
      </c>
      <c r="G11" s="103">
        <v>0</v>
      </c>
    </row>
    <row r="12" spans="1:13" ht="15" customHeight="1" x14ac:dyDescent="0.25">
      <c r="A12" s="202">
        <v>6324</v>
      </c>
      <c r="B12" s="177" t="s">
        <v>120</v>
      </c>
      <c r="C12" s="165">
        <v>309304.41701506398</v>
      </c>
      <c r="D12" s="166">
        <f>8046+1613207+170333+9065880+21551421</f>
        <v>32408887</v>
      </c>
      <c r="E12" s="176">
        <v>0</v>
      </c>
      <c r="F12" s="176">
        <v>0</v>
      </c>
      <c r="G12" s="103">
        <v>0</v>
      </c>
    </row>
    <row r="13" spans="1:13" s="45" customFormat="1" ht="15" customHeight="1" x14ac:dyDescent="0.25">
      <c r="A13" s="203">
        <v>634</v>
      </c>
      <c r="B13" s="178" t="s">
        <v>221</v>
      </c>
      <c r="C13" s="152">
        <f>C14</f>
        <v>1051112.6763554316</v>
      </c>
      <c r="D13" s="153">
        <f t="shared" ref="D13" si="9">D14</f>
        <v>8128687</v>
      </c>
      <c r="E13" s="179">
        <f t="shared" ref="E13" si="10">E14</f>
        <v>771207</v>
      </c>
      <c r="F13" s="179">
        <f>F14</f>
        <v>673418</v>
      </c>
      <c r="G13" s="210">
        <f t="shared" ref="G13" si="11">G14</f>
        <v>602542</v>
      </c>
    </row>
    <row r="14" spans="1:13" ht="15" customHeight="1" x14ac:dyDescent="0.25">
      <c r="A14" s="202">
        <v>6341</v>
      </c>
      <c r="B14" s="177" t="s">
        <v>121</v>
      </c>
      <c r="C14" s="165">
        <v>1051112.6763554316</v>
      </c>
      <c r="D14" s="166">
        <f>8128687</f>
        <v>8128687</v>
      </c>
      <c r="E14" s="176">
        <v>771207</v>
      </c>
      <c r="F14" s="176">
        <v>673418</v>
      </c>
      <c r="G14" s="103">
        <v>602542</v>
      </c>
    </row>
    <row r="15" spans="1:13" s="45" customFormat="1" ht="30" x14ac:dyDescent="0.25">
      <c r="A15" s="203">
        <v>636</v>
      </c>
      <c r="B15" s="205" t="s">
        <v>222</v>
      </c>
      <c r="C15" s="152">
        <f>C16</f>
        <v>10151.702170017918</v>
      </c>
      <c r="D15" s="153">
        <f t="shared" ref="D15:G15" si="12">D16</f>
        <v>3594</v>
      </c>
      <c r="E15" s="179">
        <f t="shared" si="12"/>
        <v>0</v>
      </c>
      <c r="F15" s="179">
        <f t="shared" si="12"/>
        <v>0</v>
      </c>
      <c r="G15" s="210">
        <f t="shared" si="12"/>
        <v>0</v>
      </c>
    </row>
    <row r="16" spans="1:13" ht="28.5" x14ac:dyDescent="0.25">
      <c r="A16" s="202">
        <v>6361</v>
      </c>
      <c r="B16" s="206" t="s">
        <v>205</v>
      </c>
      <c r="C16" s="165">
        <v>10151.702170017918</v>
      </c>
      <c r="D16" s="166">
        <f>3594</f>
        <v>3594</v>
      </c>
      <c r="E16" s="176">
        <v>0</v>
      </c>
      <c r="F16" s="176">
        <v>0</v>
      </c>
      <c r="G16" s="103">
        <v>0</v>
      </c>
    </row>
    <row r="17" spans="1:7" s="45" customFormat="1" x14ac:dyDescent="0.25">
      <c r="A17" s="203">
        <v>639</v>
      </c>
      <c r="B17" s="207" t="s">
        <v>223</v>
      </c>
      <c r="C17" s="152">
        <f>C18+C19+C20</f>
        <v>422037.75565730972</v>
      </c>
      <c r="D17" s="153">
        <f t="shared" ref="D17:G17" si="13">D18+D19+D20</f>
        <v>794373</v>
      </c>
      <c r="E17" s="179">
        <f t="shared" si="13"/>
        <v>3716239</v>
      </c>
      <c r="F17" s="179">
        <f t="shared" si="13"/>
        <v>0</v>
      </c>
      <c r="G17" s="210">
        <f t="shared" si="13"/>
        <v>0</v>
      </c>
    </row>
    <row r="18" spans="1:7" ht="15" customHeight="1" x14ac:dyDescent="0.25">
      <c r="A18" s="202">
        <v>6391</v>
      </c>
      <c r="B18" s="177" t="s">
        <v>122</v>
      </c>
      <c r="C18" s="165">
        <v>43789.501625854398</v>
      </c>
      <c r="D18" s="166">
        <f>92728</f>
        <v>92728</v>
      </c>
      <c r="E18" s="176">
        <v>0</v>
      </c>
      <c r="F18" s="176">
        <v>0</v>
      </c>
      <c r="G18" s="103">
        <v>0</v>
      </c>
    </row>
    <row r="19" spans="1:7" ht="15" customHeight="1" x14ac:dyDescent="0.25">
      <c r="A19" s="202">
        <v>6392</v>
      </c>
      <c r="B19" s="177" t="s">
        <v>206</v>
      </c>
      <c r="C19" s="165">
        <v>369714.02349193709</v>
      </c>
      <c r="D19" s="166">
        <f>456774</f>
        <v>456774</v>
      </c>
      <c r="E19" s="176">
        <v>3716239</v>
      </c>
      <c r="F19" s="176">
        <v>0</v>
      </c>
      <c r="G19" s="103">
        <v>0</v>
      </c>
    </row>
    <row r="20" spans="1:7" ht="28.5" x14ac:dyDescent="0.25">
      <c r="A20" s="202">
        <v>6393</v>
      </c>
      <c r="B20" s="208" t="s">
        <v>207</v>
      </c>
      <c r="C20" s="165">
        <v>8534.2305395182157</v>
      </c>
      <c r="D20" s="166">
        <f>244871</f>
        <v>244871</v>
      </c>
      <c r="E20" s="176">
        <v>0</v>
      </c>
      <c r="F20" s="176">
        <v>0</v>
      </c>
      <c r="G20" s="103">
        <v>0</v>
      </c>
    </row>
    <row r="21" spans="1:7" s="45" customFormat="1" ht="15" customHeight="1" x14ac:dyDescent="0.25">
      <c r="A21" s="199">
        <v>64</v>
      </c>
      <c r="B21" s="178" t="s">
        <v>85</v>
      </c>
      <c r="C21" s="152">
        <f t="shared" ref="C21" si="14">C23+C24+C25</f>
        <v>6108.9282633220519</v>
      </c>
      <c r="D21" s="153">
        <f t="shared" ref="D21:G21" si="15">D23+D24+D25</f>
        <v>18218</v>
      </c>
      <c r="E21" s="179">
        <f t="shared" si="15"/>
        <v>398</v>
      </c>
      <c r="F21" s="179">
        <f t="shared" si="15"/>
        <v>398</v>
      </c>
      <c r="G21" s="179">
        <f t="shared" si="15"/>
        <v>398</v>
      </c>
    </row>
    <row r="22" spans="1:7" s="45" customFormat="1" ht="15" customHeight="1" x14ac:dyDescent="0.25">
      <c r="A22" s="203">
        <v>641</v>
      </c>
      <c r="B22" s="178" t="s">
        <v>224</v>
      </c>
      <c r="C22" s="152">
        <f t="shared" ref="C22:G22" si="16">C23+C24+C25</f>
        <v>6108.9282633220519</v>
      </c>
      <c r="D22" s="153">
        <f t="shared" si="16"/>
        <v>18218</v>
      </c>
      <c r="E22" s="179">
        <f t="shared" si="16"/>
        <v>398</v>
      </c>
      <c r="F22" s="179">
        <f t="shared" si="16"/>
        <v>398</v>
      </c>
      <c r="G22" s="179">
        <f t="shared" si="16"/>
        <v>398</v>
      </c>
    </row>
    <row r="23" spans="1:7" ht="15" customHeight="1" x14ac:dyDescent="0.25">
      <c r="A23" s="202">
        <v>6413</v>
      </c>
      <c r="B23" s="177" t="s">
        <v>123</v>
      </c>
      <c r="C23" s="165">
        <v>1.207777556573097</v>
      </c>
      <c r="D23" s="166">
        <f>114</f>
        <v>114</v>
      </c>
      <c r="E23" s="176">
        <f>10</f>
        <v>10</v>
      </c>
      <c r="F23" s="176">
        <f>10</f>
        <v>10</v>
      </c>
      <c r="G23" s="103">
        <f>10</f>
        <v>10</v>
      </c>
    </row>
    <row r="24" spans="1:7" ht="15" customHeight="1" x14ac:dyDescent="0.25">
      <c r="A24" s="202">
        <v>6414</v>
      </c>
      <c r="B24" s="177" t="s">
        <v>124</v>
      </c>
      <c r="C24" s="165">
        <v>5968.1478532085739</v>
      </c>
      <c r="D24" s="166">
        <f>18104</f>
        <v>18104</v>
      </c>
      <c r="E24" s="176">
        <f>388</f>
        <v>388</v>
      </c>
      <c r="F24" s="176">
        <f>388</f>
        <v>388</v>
      </c>
      <c r="G24" s="103">
        <f>388</f>
        <v>388</v>
      </c>
    </row>
    <row r="25" spans="1:7" ht="28.5" x14ac:dyDescent="0.25">
      <c r="A25" s="202">
        <v>6415</v>
      </c>
      <c r="B25" s="206" t="s">
        <v>250</v>
      </c>
      <c r="C25" s="165">
        <v>139.57263255690489</v>
      </c>
      <c r="D25" s="166">
        <v>0</v>
      </c>
      <c r="E25" s="176">
        <v>0</v>
      </c>
      <c r="F25" s="176">
        <v>0</v>
      </c>
      <c r="G25" s="103">
        <v>0</v>
      </c>
    </row>
    <row r="26" spans="1:7" s="45" customFormat="1" ht="30" x14ac:dyDescent="0.25">
      <c r="A26" s="199">
        <v>65</v>
      </c>
      <c r="B26" s="209" t="s">
        <v>86</v>
      </c>
      <c r="C26" s="152">
        <f>C27</f>
        <v>10753349.34492136</v>
      </c>
      <c r="D26" s="153">
        <f t="shared" ref="D26:G27" si="17">D27</f>
        <v>11579626</v>
      </c>
      <c r="E26" s="179">
        <f t="shared" si="17"/>
        <v>12851461</v>
      </c>
      <c r="F26" s="179">
        <f t="shared" si="17"/>
        <v>13937881</v>
      </c>
      <c r="G26" s="179">
        <f t="shared" si="17"/>
        <v>15128108</v>
      </c>
    </row>
    <row r="27" spans="1:7" s="45" customFormat="1" x14ac:dyDescent="0.25">
      <c r="A27" s="203">
        <v>652</v>
      </c>
      <c r="B27" s="209" t="s">
        <v>225</v>
      </c>
      <c r="C27" s="152">
        <f t="shared" ref="C27" si="18">C28</f>
        <v>10753349.34492136</v>
      </c>
      <c r="D27" s="153">
        <f t="shared" si="17"/>
        <v>11579626</v>
      </c>
      <c r="E27" s="179">
        <f t="shared" si="17"/>
        <v>12851461</v>
      </c>
      <c r="F27" s="179">
        <f t="shared" si="17"/>
        <v>13937881</v>
      </c>
      <c r="G27" s="179">
        <f t="shared" si="17"/>
        <v>15128108</v>
      </c>
    </row>
    <row r="28" spans="1:7" ht="15" customHeight="1" x14ac:dyDescent="0.25">
      <c r="A28" s="202">
        <v>6526</v>
      </c>
      <c r="B28" s="177" t="s">
        <v>217</v>
      </c>
      <c r="C28" s="165">
        <v>10753349.34492136</v>
      </c>
      <c r="D28" s="166">
        <f>11563415+16211</f>
        <v>11579626</v>
      </c>
      <c r="E28" s="176">
        <f>12851461</f>
        <v>12851461</v>
      </c>
      <c r="F28" s="176">
        <f>13937881</f>
        <v>13937881</v>
      </c>
      <c r="G28" s="103">
        <f>15128108</f>
        <v>15128108</v>
      </c>
    </row>
    <row r="29" spans="1:7" s="45" customFormat="1" ht="30" x14ac:dyDescent="0.25">
      <c r="A29" s="199">
        <v>66</v>
      </c>
      <c r="B29" s="158" t="s">
        <v>218</v>
      </c>
      <c r="C29" s="152">
        <f t="shared" ref="C29" si="19">C30+C32</f>
        <v>4596908.7729776353</v>
      </c>
      <c r="D29" s="153">
        <f t="shared" ref="D29:G29" si="20">D30+D32</f>
        <v>2572207</v>
      </c>
      <c r="E29" s="179">
        <f t="shared" si="20"/>
        <v>1811662</v>
      </c>
      <c r="F29" s="179">
        <f t="shared" si="20"/>
        <v>1784097</v>
      </c>
      <c r="G29" s="179">
        <f t="shared" si="20"/>
        <v>1889740</v>
      </c>
    </row>
    <row r="30" spans="1:7" s="45" customFormat="1" ht="15" customHeight="1" x14ac:dyDescent="0.25">
      <c r="A30" s="203">
        <v>661</v>
      </c>
      <c r="B30" s="158" t="s">
        <v>226</v>
      </c>
      <c r="C30" s="152">
        <f t="shared" ref="C30" si="21">C31</f>
        <v>2178749.2587431148</v>
      </c>
      <c r="D30" s="153">
        <f t="shared" ref="D30" si="22">D31</f>
        <v>2348001</v>
      </c>
      <c r="E30" s="179">
        <f t="shared" ref="E30" si="23">E31</f>
        <v>1698398</v>
      </c>
      <c r="F30" s="179">
        <f t="shared" ref="F30" si="24">F31</f>
        <v>1709433</v>
      </c>
      <c r="G30" s="179">
        <f t="shared" ref="G30" si="25">G31</f>
        <v>1769879</v>
      </c>
    </row>
    <row r="31" spans="1:7" s="45" customFormat="1" ht="15" customHeight="1" x14ac:dyDescent="0.25">
      <c r="A31" s="202">
        <v>6615</v>
      </c>
      <c r="B31" s="177" t="s">
        <v>125</v>
      </c>
      <c r="C31" s="165">
        <v>2178749.2587431148</v>
      </c>
      <c r="D31" s="166">
        <v>2348001</v>
      </c>
      <c r="E31" s="176">
        <v>1698398</v>
      </c>
      <c r="F31" s="176">
        <f>1709433</f>
        <v>1709433</v>
      </c>
      <c r="G31" s="176">
        <f>1769879</f>
        <v>1769879</v>
      </c>
    </row>
    <row r="32" spans="1:7" s="45" customFormat="1" ht="30" customHeight="1" x14ac:dyDescent="0.25">
      <c r="A32" s="203">
        <v>663</v>
      </c>
      <c r="B32" s="209" t="s">
        <v>230</v>
      </c>
      <c r="C32" s="152">
        <f>C33+C34</f>
        <v>2418159.514234521</v>
      </c>
      <c r="D32" s="153">
        <f t="shared" ref="D32:G32" si="26">D33+D34</f>
        <v>224206</v>
      </c>
      <c r="E32" s="179">
        <f t="shared" si="26"/>
        <v>113264</v>
      </c>
      <c r="F32" s="179">
        <f t="shared" si="26"/>
        <v>74664</v>
      </c>
      <c r="G32" s="179">
        <f t="shared" si="26"/>
        <v>119861</v>
      </c>
    </row>
    <row r="33" spans="1:7" ht="15" customHeight="1" x14ac:dyDescent="0.25">
      <c r="A33" s="202">
        <v>6631</v>
      </c>
      <c r="B33" s="175" t="s">
        <v>126</v>
      </c>
      <c r="C33" s="165">
        <v>2149749.1791094299</v>
      </c>
      <c r="D33" s="166">
        <f>28+2534+162358+11</f>
        <v>164931</v>
      </c>
      <c r="E33" s="176">
        <v>47571</v>
      </c>
      <c r="F33" s="176">
        <v>58985</v>
      </c>
      <c r="G33" s="103">
        <v>113029</v>
      </c>
    </row>
    <row r="34" spans="1:7" s="45" customFormat="1" ht="15" customHeight="1" x14ac:dyDescent="0.25">
      <c r="A34" s="202">
        <v>6632</v>
      </c>
      <c r="B34" s="221" t="s">
        <v>127</v>
      </c>
      <c r="C34" s="165">
        <v>268410.33512509119</v>
      </c>
      <c r="D34" s="166">
        <f>59275</f>
        <v>59275</v>
      </c>
      <c r="E34" s="176">
        <v>65693</v>
      </c>
      <c r="F34" s="176">
        <v>15679</v>
      </c>
      <c r="G34" s="176">
        <v>6832</v>
      </c>
    </row>
    <row r="35" spans="1:7" s="45" customFormat="1" ht="30" x14ac:dyDescent="0.25">
      <c r="A35" s="199">
        <v>67</v>
      </c>
      <c r="B35" s="158" t="s">
        <v>133</v>
      </c>
      <c r="C35" s="152">
        <f>C36+C39</f>
        <v>205091506.77417213</v>
      </c>
      <c r="D35" s="153">
        <f t="shared" ref="D35:G35" si="27">D36+D39</f>
        <v>216259906</v>
      </c>
      <c r="E35" s="179">
        <f t="shared" si="27"/>
        <v>264838390</v>
      </c>
      <c r="F35" s="179">
        <f t="shared" si="27"/>
        <v>267307687</v>
      </c>
      <c r="G35" s="179">
        <f t="shared" si="27"/>
        <v>284591176</v>
      </c>
    </row>
    <row r="36" spans="1:7" s="45" customFormat="1" ht="30" x14ac:dyDescent="0.25">
      <c r="A36" s="203">
        <v>671</v>
      </c>
      <c r="B36" s="158" t="s">
        <v>227</v>
      </c>
      <c r="C36" s="152">
        <f t="shared" ref="C36" si="28">SUM(C37:C38)</f>
        <v>37825671.65571703</v>
      </c>
      <c r="D36" s="153">
        <f t="shared" ref="D36" si="29">SUM(D37:D38)</f>
        <v>10731301</v>
      </c>
      <c r="E36" s="179">
        <f t="shared" ref="E36" si="30">SUM(E37:E38)</f>
        <v>28308497</v>
      </c>
      <c r="F36" s="179">
        <f t="shared" ref="F36" si="31">SUM(F37:F38)</f>
        <v>12197035</v>
      </c>
      <c r="G36" s="179">
        <f t="shared" ref="G36" si="32">SUM(G37:G38)</f>
        <v>9150538</v>
      </c>
    </row>
    <row r="37" spans="1:7" s="45" customFormat="1" ht="15" customHeight="1" x14ac:dyDescent="0.25">
      <c r="A37" s="202">
        <v>6711</v>
      </c>
      <c r="B37" s="222" t="s">
        <v>129</v>
      </c>
      <c r="C37" s="165">
        <v>33042807.630234253</v>
      </c>
      <c r="D37" s="171">
        <f>2009031+186682</f>
        <v>2195713</v>
      </c>
      <c r="E37" s="176">
        <f>447670+253852</f>
        <v>701522</v>
      </c>
      <c r="F37" s="176">
        <f>115318+567154</f>
        <v>682472</v>
      </c>
      <c r="G37" s="176">
        <f>136667+283577</f>
        <v>420244</v>
      </c>
    </row>
    <row r="38" spans="1:7" ht="28.5" x14ac:dyDescent="0.25">
      <c r="A38" s="202">
        <v>6712</v>
      </c>
      <c r="B38" s="175" t="s">
        <v>128</v>
      </c>
      <c r="C38" s="165">
        <v>4782864.0254827794</v>
      </c>
      <c r="D38" s="171">
        <f>8220841+314747</f>
        <v>8535588</v>
      </c>
      <c r="E38" s="176">
        <f>16984408+10622567</f>
        <v>27606975</v>
      </c>
      <c r="F38" s="176">
        <f>5286760+6227803</f>
        <v>11514563</v>
      </c>
      <c r="G38" s="103">
        <f>6599306+2130988</f>
        <v>8730294</v>
      </c>
    </row>
    <row r="39" spans="1:7" s="45" customFormat="1" x14ac:dyDescent="0.25">
      <c r="A39" s="203">
        <v>673</v>
      </c>
      <c r="B39" s="158" t="s">
        <v>228</v>
      </c>
      <c r="C39" s="152">
        <f>C40</f>
        <v>167265835.11845511</v>
      </c>
      <c r="D39" s="153">
        <f t="shared" ref="D39:G39" si="33">D40</f>
        <v>205528605</v>
      </c>
      <c r="E39" s="179">
        <f t="shared" si="33"/>
        <v>236529893</v>
      </c>
      <c r="F39" s="179">
        <f t="shared" si="33"/>
        <v>255110652</v>
      </c>
      <c r="G39" s="210">
        <f t="shared" si="33"/>
        <v>275440638</v>
      </c>
    </row>
    <row r="40" spans="1:7" ht="15" customHeight="1" x14ac:dyDescent="0.25">
      <c r="A40" s="202">
        <v>6731</v>
      </c>
      <c r="B40" s="175" t="s">
        <v>130</v>
      </c>
      <c r="C40" s="165">
        <v>167265835.11845511</v>
      </c>
      <c r="D40" s="166">
        <f>205528605</f>
        <v>205528605</v>
      </c>
      <c r="E40" s="176">
        <v>236529893</v>
      </c>
      <c r="F40" s="176">
        <v>255110652</v>
      </c>
      <c r="G40" s="103">
        <v>275440638</v>
      </c>
    </row>
    <row r="41" spans="1:7" s="45" customFormat="1" ht="15" customHeight="1" x14ac:dyDescent="0.25">
      <c r="A41" s="199">
        <v>68</v>
      </c>
      <c r="B41" s="158" t="s">
        <v>87</v>
      </c>
      <c r="C41" s="152">
        <f>C42</f>
        <v>114450.03517154422</v>
      </c>
      <c r="D41" s="153">
        <f t="shared" ref="D41:G42" si="34">D42</f>
        <v>126388</v>
      </c>
      <c r="E41" s="179">
        <f t="shared" si="34"/>
        <v>30000</v>
      </c>
      <c r="F41" s="179">
        <f t="shared" si="34"/>
        <v>25000</v>
      </c>
      <c r="G41" s="179">
        <f t="shared" si="34"/>
        <v>18000</v>
      </c>
    </row>
    <row r="42" spans="1:7" s="45" customFormat="1" ht="15" customHeight="1" x14ac:dyDescent="0.25">
      <c r="A42" s="203">
        <v>683</v>
      </c>
      <c r="B42" s="158" t="s">
        <v>131</v>
      </c>
      <c r="C42" s="152">
        <f t="shared" ref="C42" si="35">C43</f>
        <v>114450.03517154422</v>
      </c>
      <c r="D42" s="153">
        <f t="shared" si="34"/>
        <v>126388</v>
      </c>
      <c r="E42" s="179">
        <f t="shared" si="34"/>
        <v>30000</v>
      </c>
      <c r="F42" s="179">
        <f t="shared" si="34"/>
        <v>25000</v>
      </c>
      <c r="G42" s="179">
        <f t="shared" si="34"/>
        <v>18000</v>
      </c>
    </row>
    <row r="43" spans="1:7" ht="15" customHeight="1" x14ac:dyDescent="0.25">
      <c r="A43" s="202">
        <v>6831</v>
      </c>
      <c r="B43" s="175" t="s">
        <v>131</v>
      </c>
      <c r="C43" s="165">
        <v>114450.03517154422</v>
      </c>
      <c r="D43" s="166">
        <f>133+126255</f>
        <v>126388</v>
      </c>
      <c r="E43" s="176">
        <v>30000</v>
      </c>
      <c r="F43" s="176">
        <v>25000</v>
      </c>
      <c r="G43" s="103">
        <v>18000</v>
      </c>
    </row>
    <row r="44" spans="1:7" s="45" customFormat="1" ht="15" customHeight="1" x14ac:dyDescent="0.25">
      <c r="A44" s="178">
        <v>7</v>
      </c>
      <c r="B44" s="158" t="s">
        <v>37</v>
      </c>
      <c r="C44" s="152">
        <f t="shared" ref="C44:G46" si="36">C45</f>
        <v>1144.2696927466984</v>
      </c>
      <c r="D44" s="153">
        <f t="shared" si="36"/>
        <v>1195</v>
      </c>
      <c r="E44" s="179">
        <f t="shared" si="36"/>
        <v>1181</v>
      </c>
      <c r="F44" s="179">
        <f t="shared" si="36"/>
        <v>1168</v>
      </c>
      <c r="G44" s="179">
        <f t="shared" si="36"/>
        <v>1158</v>
      </c>
    </row>
    <row r="45" spans="1:7" s="45" customFormat="1" ht="15" customHeight="1" x14ac:dyDescent="0.25">
      <c r="A45" s="199">
        <v>72</v>
      </c>
      <c r="B45" s="101" t="s">
        <v>38</v>
      </c>
      <c r="C45" s="152">
        <f>C46</f>
        <v>1144.2696927466984</v>
      </c>
      <c r="D45" s="153">
        <f t="shared" si="36"/>
        <v>1195</v>
      </c>
      <c r="E45" s="179">
        <f t="shared" si="36"/>
        <v>1181</v>
      </c>
      <c r="F45" s="179">
        <f t="shared" si="36"/>
        <v>1168</v>
      </c>
      <c r="G45" s="179">
        <f t="shared" si="36"/>
        <v>1158</v>
      </c>
    </row>
    <row r="46" spans="1:7" s="45" customFormat="1" ht="15" customHeight="1" x14ac:dyDescent="0.25">
      <c r="A46" s="203">
        <v>721</v>
      </c>
      <c r="B46" s="101" t="s">
        <v>229</v>
      </c>
      <c r="C46" s="152">
        <f t="shared" ref="C46" si="37">C47</f>
        <v>1144.2696927466984</v>
      </c>
      <c r="D46" s="153">
        <f t="shared" si="36"/>
        <v>1195</v>
      </c>
      <c r="E46" s="179">
        <f t="shared" si="36"/>
        <v>1181</v>
      </c>
      <c r="F46" s="179">
        <f t="shared" si="36"/>
        <v>1168</v>
      </c>
      <c r="G46" s="179">
        <f t="shared" si="36"/>
        <v>1158</v>
      </c>
    </row>
    <row r="47" spans="1:7" s="45" customFormat="1" ht="15" customHeight="1" x14ac:dyDescent="0.25">
      <c r="A47" s="204">
        <v>7211</v>
      </c>
      <c r="B47" s="208" t="s">
        <v>132</v>
      </c>
      <c r="C47" s="165">
        <v>1144.2696927466984</v>
      </c>
      <c r="D47" s="166">
        <v>1195</v>
      </c>
      <c r="E47" s="176">
        <v>1181</v>
      </c>
      <c r="F47" s="176">
        <v>1168</v>
      </c>
      <c r="G47" s="103">
        <v>1158</v>
      </c>
    </row>
    <row r="48" spans="1:7" s="45" customFormat="1" ht="9.75" customHeight="1" x14ac:dyDescent="0.25">
      <c r="A48" s="88"/>
      <c r="B48" s="88"/>
      <c r="C48" s="88"/>
      <c r="D48" s="88"/>
      <c r="E48" s="104"/>
      <c r="F48" s="104"/>
      <c r="G48" s="104"/>
    </row>
    <row r="49" spans="1:17" s="45" customFormat="1" ht="15" customHeight="1" x14ac:dyDescent="0.25">
      <c r="A49" s="172"/>
      <c r="B49" s="180" t="s">
        <v>106</v>
      </c>
      <c r="C49" s="181">
        <f>C50+C100</f>
        <v>224161690.443113</v>
      </c>
      <c r="D49" s="155">
        <f t="shared" ref="D49:G49" si="38">D50+D100</f>
        <v>275301134</v>
      </c>
      <c r="E49" s="154">
        <f t="shared" si="38"/>
        <v>284001343</v>
      </c>
      <c r="F49" s="154">
        <f t="shared" si="38"/>
        <v>283785777</v>
      </c>
      <c r="G49" s="154">
        <f t="shared" si="38"/>
        <v>302243483</v>
      </c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s="45" customFormat="1" ht="15" customHeight="1" x14ac:dyDescent="0.25">
      <c r="A50" s="158">
        <v>3</v>
      </c>
      <c r="B50" s="158" t="s">
        <v>11</v>
      </c>
      <c r="C50" s="152">
        <f>C51+C59+C91+C97</f>
        <v>217879219.88</v>
      </c>
      <c r="D50" s="153">
        <f t="shared" ref="D50:G50" si="39">D51+D59+D91+D97</f>
        <v>231176164</v>
      </c>
      <c r="E50" s="179">
        <f t="shared" si="39"/>
        <v>251227247</v>
      </c>
      <c r="F50" s="179">
        <f t="shared" si="39"/>
        <v>270870346</v>
      </c>
      <c r="G50" s="179">
        <f t="shared" si="39"/>
        <v>292121331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s="45" customFormat="1" ht="15" customHeight="1" x14ac:dyDescent="0.25">
      <c r="A51" s="211">
        <v>31</v>
      </c>
      <c r="B51" s="158" t="s">
        <v>12</v>
      </c>
      <c r="C51" s="152">
        <f>C53+C56+C54+C58</f>
        <v>100904122.58</v>
      </c>
      <c r="D51" s="153">
        <f t="shared" ref="D51:G51" si="40">D53+D56+D54+D58</f>
        <v>117868630</v>
      </c>
      <c r="E51" s="179">
        <f t="shared" si="40"/>
        <v>132013311</v>
      </c>
      <c r="F51" s="179">
        <f t="shared" si="40"/>
        <v>134275647</v>
      </c>
      <c r="G51" s="179">
        <f t="shared" si="40"/>
        <v>136583251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s="45" customFormat="1" ht="15" customHeight="1" x14ac:dyDescent="0.25">
      <c r="A52" s="216">
        <v>311</v>
      </c>
      <c r="B52" s="158" t="s">
        <v>235</v>
      </c>
      <c r="C52" s="152">
        <f>C53+C54</f>
        <v>86342937.149999991</v>
      </c>
      <c r="D52" s="153">
        <f t="shared" ref="D52:G52" si="41">D53+D54</f>
        <v>100870563</v>
      </c>
      <c r="E52" s="179">
        <f t="shared" si="41"/>
        <v>113262483</v>
      </c>
      <c r="F52" s="179">
        <f t="shared" si="41"/>
        <v>115254483</v>
      </c>
      <c r="G52" s="179">
        <f t="shared" si="41"/>
        <v>117286323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45" customFormat="1" ht="15" customHeight="1" x14ac:dyDescent="0.25">
      <c r="A53" s="201">
        <v>3111</v>
      </c>
      <c r="B53" s="177" t="s">
        <v>134</v>
      </c>
      <c r="C53" s="165">
        <v>86100368.329999998</v>
      </c>
      <c r="D53" s="166">
        <f>94868287-2438+5737001-13814-2500</f>
        <v>100586536</v>
      </c>
      <c r="E53" s="176">
        <v>113262483</v>
      </c>
      <c r="F53" s="176">
        <v>115254483</v>
      </c>
      <c r="G53" s="117">
        <v>117286323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s="45" customFormat="1" ht="15" customHeight="1" x14ac:dyDescent="0.25">
      <c r="A54" s="201">
        <v>3114</v>
      </c>
      <c r="B54" s="223" t="s">
        <v>204</v>
      </c>
      <c r="C54" s="165">
        <v>242568.82</v>
      </c>
      <c r="D54" s="166">
        <v>284027</v>
      </c>
      <c r="E54" s="176">
        <v>0</v>
      </c>
      <c r="F54" s="176">
        <v>0</v>
      </c>
      <c r="G54" s="117">
        <v>0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s="45" customFormat="1" ht="15" customHeight="1" x14ac:dyDescent="0.25">
      <c r="A55" s="200">
        <v>312</v>
      </c>
      <c r="B55" s="213" t="s">
        <v>135</v>
      </c>
      <c r="C55" s="152">
        <f>C56</f>
        <v>2497341.23</v>
      </c>
      <c r="D55" s="153">
        <f t="shared" ref="D55:G55" si="42">D56</f>
        <v>3113064</v>
      </c>
      <c r="E55" s="179">
        <f t="shared" si="42"/>
        <v>3100000</v>
      </c>
      <c r="F55" s="179">
        <f t="shared" si="42"/>
        <v>3100000</v>
      </c>
      <c r="G55" s="214">
        <f t="shared" si="42"/>
        <v>3100000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s="45" customFormat="1" ht="15" customHeight="1" x14ac:dyDescent="0.25">
      <c r="A56" s="202">
        <v>3121</v>
      </c>
      <c r="B56" s="177" t="s">
        <v>135</v>
      </c>
      <c r="C56" s="165">
        <v>2497341.23</v>
      </c>
      <c r="D56" s="166">
        <f>2509645-13+603508-76</f>
        <v>3113064</v>
      </c>
      <c r="E56" s="176">
        <v>3100000</v>
      </c>
      <c r="F56" s="176">
        <v>3100000</v>
      </c>
      <c r="G56" s="117">
        <v>3100000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1:17" s="45" customFormat="1" ht="15" customHeight="1" x14ac:dyDescent="0.25">
      <c r="A57" s="203">
        <v>313</v>
      </c>
      <c r="B57" s="178" t="s">
        <v>237</v>
      </c>
      <c r="C57" s="152">
        <f>C58</f>
        <v>12063844.199999999</v>
      </c>
      <c r="D57" s="153">
        <f t="shared" ref="D57:G57" si="43">D58</f>
        <v>13885003</v>
      </c>
      <c r="E57" s="179">
        <f t="shared" si="43"/>
        <v>15650828</v>
      </c>
      <c r="F57" s="179">
        <f t="shared" si="43"/>
        <v>15921164</v>
      </c>
      <c r="G57" s="214">
        <f t="shared" si="43"/>
        <v>16196928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1:17" ht="15" customHeight="1" x14ac:dyDescent="0.25">
      <c r="A58" s="202">
        <v>3132</v>
      </c>
      <c r="B58" s="177" t="s">
        <v>136</v>
      </c>
      <c r="C58" s="165">
        <v>12063844.199999999</v>
      </c>
      <c r="D58" s="166">
        <f>12823077-457+1064972-2589</f>
        <v>13885003</v>
      </c>
      <c r="E58" s="176">
        <v>15650828</v>
      </c>
      <c r="F58" s="176">
        <v>15921164</v>
      </c>
      <c r="G58" s="117">
        <v>16196928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s="88" customFormat="1" ht="15" customHeight="1" x14ac:dyDescent="0.25">
      <c r="A59" s="212">
        <v>32</v>
      </c>
      <c r="B59" s="178" t="s">
        <v>21</v>
      </c>
      <c r="C59" s="152">
        <f>C60+C65+C71+C81+C83</f>
        <v>116244732.79999998</v>
      </c>
      <c r="D59" s="153">
        <f t="shared" ref="D59:G59" si="44">D60+D65+D71+D81+D83</f>
        <v>111856685</v>
      </c>
      <c r="E59" s="179">
        <f t="shared" si="44"/>
        <v>117737804</v>
      </c>
      <c r="F59" s="179">
        <f t="shared" si="44"/>
        <v>135388067</v>
      </c>
      <c r="G59" s="179">
        <f t="shared" si="44"/>
        <v>154431448</v>
      </c>
    </row>
    <row r="60" spans="1:17" s="88" customFormat="1" ht="15" customHeight="1" x14ac:dyDescent="0.25">
      <c r="A60" s="199">
        <v>321</v>
      </c>
      <c r="B60" s="178" t="s">
        <v>238</v>
      </c>
      <c r="C60" s="152">
        <f>SUM(C61:C64)</f>
        <v>3058612.2</v>
      </c>
      <c r="D60" s="153">
        <f t="shared" ref="D60:G60" si="45">SUM(D61:D64)</f>
        <v>3743766</v>
      </c>
      <c r="E60" s="179">
        <f t="shared" si="45"/>
        <v>3471223</v>
      </c>
      <c r="F60" s="179">
        <f t="shared" si="45"/>
        <v>3448723</v>
      </c>
      <c r="G60" s="179">
        <f t="shared" si="45"/>
        <v>3608392</v>
      </c>
    </row>
    <row r="61" spans="1:17" s="45" customFormat="1" ht="15" customHeight="1" x14ac:dyDescent="0.25">
      <c r="A61" s="202">
        <v>3211</v>
      </c>
      <c r="B61" s="177" t="s">
        <v>137</v>
      </c>
      <c r="C61" s="118">
        <v>85349.82</v>
      </c>
      <c r="D61" s="166">
        <f>434649-19951+33000+3784-113057+9000</f>
        <v>347425</v>
      </c>
      <c r="E61" s="176">
        <v>171281</v>
      </c>
      <c r="F61" s="176">
        <v>148781</v>
      </c>
      <c r="G61" s="117">
        <v>161950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s="45" customFormat="1" ht="15" customHeight="1" x14ac:dyDescent="0.25">
      <c r="A62" s="202">
        <v>3212</v>
      </c>
      <c r="B62" s="177" t="s">
        <v>138</v>
      </c>
      <c r="C62" s="165">
        <v>2835217.22</v>
      </c>
      <c r="D62" s="166">
        <f>3200215-259-1469</f>
        <v>3198487</v>
      </c>
      <c r="E62" s="176">
        <v>3198493</v>
      </c>
      <c r="F62" s="176">
        <v>3198493</v>
      </c>
      <c r="G62" s="117">
        <v>3344993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1:17" ht="15" customHeight="1" x14ac:dyDescent="0.25">
      <c r="A63" s="202">
        <v>3213</v>
      </c>
      <c r="B63" s="177" t="s">
        <v>139</v>
      </c>
      <c r="C63" s="165">
        <v>138039.73000000001</v>
      </c>
      <c r="D63" s="166">
        <f>239329-2778-3484-19741-15738</f>
        <v>197588</v>
      </c>
      <c r="E63" s="176">
        <v>101183</v>
      </c>
      <c r="F63" s="176">
        <v>101183</v>
      </c>
      <c r="G63" s="117">
        <v>101183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ht="15" customHeight="1" x14ac:dyDescent="0.25">
      <c r="A64" s="202">
        <v>3214</v>
      </c>
      <c r="B64" s="177" t="s">
        <v>141</v>
      </c>
      <c r="C64" s="165">
        <v>5.43</v>
      </c>
      <c r="D64" s="166">
        <v>266</v>
      </c>
      <c r="E64" s="176">
        <v>266</v>
      </c>
      <c r="F64" s="176">
        <v>266</v>
      </c>
      <c r="G64" s="117">
        <v>266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1:17" s="45" customFormat="1" ht="15" customHeight="1" x14ac:dyDescent="0.25">
      <c r="A65" s="199">
        <v>322</v>
      </c>
      <c r="B65" s="178" t="s">
        <v>239</v>
      </c>
      <c r="C65" s="152">
        <f>SUM(C66:C70)</f>
        <v>103327640.50999999</v>
      </c>
      <c r="D65" s="153">
        <f t="shared" ref="D65:G65" si="46">SUM(D66:D70)</f>
        <v>95034454</v>
      </c>
      <c r="E65" s="179">
        <f t="shared" si="46"/>
        <v>99267940</v>
      </c>
      <c r="F65" s="179">
        <f t="shared" si="46"/>
        <v>117233683</v>
      </c>
      <c r="G65" s="214">
        <f t="shared" si="46"/>
        <v>136128418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1:17" ht="15" customHeight="1" x14ac:dyDescent="0.25">
      <c r="A66" s="202">
        <v>3221</v>
      </c>
      <c r="B66" s="177" t="s">
        <v>140</v>
      </c>
      <c r="C66" s="165">
        <v>2218519.77</v>
      </c>
      <c r="D66" s="166">
        <f>2002621-15000+7785461-5000</f>
        <v>9768082</v>
      </c>
      <c r="E66" s="176">
        <v>2528872</v>
      </c>
      <c r="F66" s="176">
        <v>2528872</v>
      </c>
      <c r="G66" s="117">
        <v>2530212</v>
      </c>
    </row>
    <row r="67" spans="1:17" ht="15" customHeight="1" x14ac:dyDescent="0.25">
      <c r="A67" s="202">
        <v>3222</v>
      </c>
      <c r="B67" s="177" t="s">
        <v>142</v>
      </c>
      <c r="C67" s="165">
        <v>97102796.090000004</v>
      </c>
      <c r="D67" s="166">
        <f>80801883-786000+3978-2500+877809</f>
        <v>80895170</v>
      </c>
      <c r="E67" s="176">
        <v>93235597</v>
      </c>
      <c r="F67" s="176">
        <v>110928016</v>
      </c>
      <c r="G67" s="117">
        <v>129473520</v>
      </c>
    </row>
    <row r="68" spans="1:17" ht="15" customHeight="1" x14ac:dyDescent="0.25">
      <c r="A68" s="202">
        <v>3223</v>
      </c>
      <c r="B68" s="177" t="s">
        <v>143</v>
      </c>
      <c r="C68" s="165">
        <v>3398778.66</v>
      </c>
      <c r="D68" s="166">
        <f>3391921-2382</f>
        <v>3389539</v>
      </c>
      <c r="E68" s="176">
        <v>2779433</v>
      </c>
      <c r="F68" s="176">
        <v>3052757</v>
      </c>
      <c r="G68" s="117">
        <v>3400133</v>
      </c>
    </row>
    <row r="69" spans="1:17" ht="15" customHeight="1" x14ac:dyDescent="0.25">
      <c r="A69" s="202">
        <v>3224</v>
      </c>
      <c r="B69" s="177" t="s">
        <v>144</v>
      </c>
      <c r="C69" s="165">
        <v>0</v>
      </c>
      <c r="D69" s="166">
        <v>333267</v>
      </c>
      <c r="E69" s="176">
        <v>2040</v>
      </c>
      <c r="F69" s="176">
        <v>2040</v>
      </c>
      <c r="G69" s="117">
        <v>2040</v>
      </c>
    </row>
    <row r="70" spans="1:17" ht="15" customHeight="1" x14ac:dyDescent="0.25">
      <c r="A70" s="202">
        <v>3225</v>
      </c>
      <c r="B70" s="177" t="s">
        <v>145</v>
      </c>
      <c r="C70" s="165">
        <v>607545.99</v>
      </c>
      <c r="D70" s="166">
        <f>656976-8580</f>
        <v>648396</v>
      </c>
      <c r="E70" s="176">
        <v>721998</v>
      </c>
      <c r="F70" s="176">
        <v>721998</v>
      </c>
      <c r="G70" s="117">
        <v>722513</v>
      </c>
    </row>
    <row r="71" spans="1:17" s="45" customFormat="1" ht="15" customHeight="1" x14ac:dyDescent="0.25">
      <c r="A71" s="199">
        <v>323</v>
      </c>
      <c r="B71" s="178" t="s">
        <v>240</v>
      </c>
      <c r="C71" s="152">
        <f>SUM(C72:C80)</f>
        <v>8616045.5199999996</v>
      </c>
      <c r="D71" s="153">
        <f t="shared" ref="D71:G71" si="47">SUM(D72:D80)</f>
        <v>11599076</v>
      </c>
      <c r="E71" s="179">
        <f t="shared" si="47"/>
        <v>13384317</v>
      </c>
      <c r="F71" s="179">
        <f t="shared" si="47"/>
        <v>13387737</v>
      </c>
      <c r="G71" s="214">
        <f t="shared" si="47"/>
        <v>13376714</v>
      </c>
    </row>
    <row r="72" spans="1:17" ht="15" customHeight="1" x14ac:dyDescent="0.25">
      <c r="A72" s="202">
        <v>3231</v>
      </c>
      <c r="B72" s="177" t="s">
        <v>146</v>
      </c>
      <c r="C72" s="165">
        <v>187744.19</v>
      </c>
      <c r="D72" s="182">
        <f>178699-4495</f>
        <v>174204</v>
      </c>
      <c r="E72" s="176">
        <v>252895</v>
      </c>
      <c r="F72" s="176">
        <v>252895</v>
      </c>
      <c r="G72" s="117">
        <v>252895</v>
      </c>
    </row>
    <row r="73" spans="1:17" ht="15" customHeight="1" x14ac:dyDescent="0.25">
      <c r="A73" s="202">
        <v>3232</v>
      </c>
      <c r="B73" s="177" t="s">
        <v>147</v>
      </c>
      <c r="C73" s="165">
        <v>3440940.13</v>
      </c>
      <c r="D73" s="166">
        <v>2927335</v>
      </c>
      <c r="E73" s="176">
        <v>6162097</v>
      </c>
      <c r="F73" s="176">
        <v>6162097</v>
      </c>
      <c r="G73" s="117">
        <v>6432633</v>
      </c>
    </row>
    <row r="74" spans="1:17" ht="15" customHeight="1" x14ac:dyDescent="0.25">
      <c r="A74" s="202">
        <v>3233</v>
      </c>
      <c r="B74" s="177" t="s">
        <v>148</v>
      </c>
      <c r="C74" s="165">
        <v>64645.19</v>
      </c>
      <c r="D74" s="166">
        <f>279582-531-84+11000-475-3008</f>
        <v>286484</v>
      </c>
      <c r="E74" s="176">
        <v>50233</v>
      </c>
      <c r="F74" s="176">
        <v>54657</v>
      </c>
      <c r="G74" s="117">
        <v>52445</v>
      </c>
    </row>
    <row r="75" spans="1:17" ht="15" customHeight="1" x14ac:dyDescent="0.25">
      <c r="A75" s="202">
        <v>3234</v>
      </c>
      <c r="B75" s="177" t="s">
        <v>149</v>
      </c>
      <c r="C75" s="165">
        <v>1170804.08</v>
      </c>
      <c r="D75" s="166">
        <f>1361712-13116-74324</f>
        <v>1274272</v>
      </c>
      <c r="E75" s="176">
        <v>1346933</v>
      </c>
      <c r="F75" s="176">
        <v>1346933</v>
      </c>
      <c r="G75" s="117">
        <v>1346933</v>
      </c>
    </row>
    <row r="76" spans="1:17" ht="15" customHeight="1" x14ac:dyDescent="0.25">
      <c r="A76" s="202">
        <v>3235</v>
      </c>
      <c r="B76" s="177" t="s">
        <v>150</v>
      </c>
      <c r="C76" s="165">
        <v>255799.12</v>
      </c>
      <c r="D76" s="166">
        <f>402801-23890-135377</f>
        <v>243534</v>
      </c>
      <c r="E76" s="176">
        <v>286033</v>
      </c>
      <c r="F76" s="176">
        <v>286033</v>
      </c>
      <c r="G76" s="117">
        <v>286033</v>
      </c>
    </row>
    <row r="77" spans="1:17" ht="15" customHeight="1" x14ac:dyDescent="0.25">
      <c r="A77" s="202">
        <v>3236</v>
      </c>
      <c r="B77" s="177" t="s">
        <v>151</v>
      </c>
      <c r="C77" s="165">
        <v>824462.2</v>
      </c>
      <c r="D77" s="166">
        <f>743381+1300</f>
        <v>744681</v>
      </c>
      <c r="E77" s="176">
        <v>1100133</v>
      </c>
      <c r="F77" s="176">
        <v>1100133</v>
      </c>
      <c r="G77" s="117">
        <v>1100133</v>
      </c>
    </row>
    <row r="78" spans="1:17" ht="15" customHeight="1" x14ac:dyDescent="0.25">
      <c r="A78" s="202">
        <v>3237</v>
      </c>
      <c r="B78" s="177" t="s">
        <v>152</v>
      </c>
      <c r="C78" s="165">
        <v>723385.33</v>
      </c>
      <c r="D78" s="166">
        <f>9214841-48966-115-25000+75000+14575-654-277480-5200000</f>
        <v>3752201</v>
      </c>
      <c r="E78" s="176">
        <v>1097861</v>
      </c>
      <c r="F78" s="176">
        <v>1184390</v>
      </c>
      <c r="G78" s="117">
        <v>963464</v>
      </c>
    </row>
    <row r="79" spans="1:17" ht="15" customHeight="1" x14ac:dyDescent="0.25">
      <c r="A79" s="202">
        <v>3238</v>
      </c>
      <c r="B79" s="177" t="s">
        <v>153</v>
      </c>
      <c r="C79" s="165">
        <v>772558.72</v>
      </c>
      <c r="D79" s="166">
        <f>624727+32000+3681</f>
        <v>660408</v>
      </c>
      <c r="E79" s="176">
        <v>1170366</v>
      </c>
      <c r="F79" s="176">
        <v>1170366</v>
      </c>
      <c r="G79" s="117">
        <v>1170366</v>
      </c>
    </row>
    <row r="80" spans="1:17" ht="15" customHeight="1" x14ac:dyDescent="0.25">
      <c r="A80" s="202">
        <v>3239</v>
      </c>
      <c r="B80" s="177" t="s">
        <v>154</v>
      </c>
      <c r="C80" s="165">
        <v>1175706.56</v>
      </c>
      <c r="D80" s="166">
        <f>1644308-7840-43433+51500+229000-246116+1958-44420-50000+1000</f>
        <v>1535957</v>
      </c>
      <c r="E80" s="176">
        <v>1917766</v>
      </c>
      <c r="F80" s="176">
        <v>1830233</v>
      </c>
      <c r="G80" s="117">
        <v>1771812</v>
      </c>
    </row>
    <row r="81" spans="1:7" s="45" customFormat="1" ht="15" customHeight="1" x14ac:dyDescent="0.25">
      <c r="A81" s="199">
        <v>324</v>
      </c>
      <c r="B81" s="178" t="s">
        <v>155</v>
      </c>
      <c r="C81" s="152">
        <f>C82</f>
        <v>6581.99</v>
      </c>
      <c r="D81" s="153">
        <f t="shared" ref="D81:G81" si="48">D82</f>
        <v>13274</v>
      </c>
      <c r="E81" s="179">
        <f t="shared" si="48"/>
        <v>7074</v>
      </c>
      <c r="F81" s="179">
        <f t="shared" si="48"/>
        <v>7074</v>
      </c>
      <c r="G81" s="214">
        <f t="shared" si="48"/>
        <v>7074</v>
      </c>
    </row>
    <row r="82" spans="1:7" ht="15" customHeight="1" x14ac:dyDescent="0.25">
      <c r="A82" s="202">
        <v>3241</v>
      </c>
      <c r="B82" s="177" t="s">
        <v>155</v>
      </c>
      <c r="C82" s="165">
        <v>6581.99</v>
      </c>
      <c r="D82" s="166">
        <f>52274-39000</f>
        <v>13274</v>
      </c>
      <c r="E82" s="176">
        <v>7074</v>
      </c>
      <c r="F82" s="176">
        <v>7074</v>
      </c>
      <c r="G82" s="117">
        <v>7074</v>
      </c>
    </row>
    <row r="83" spans="1:7" s="45" customFormat="1" ht="15" customHeight="1" x14ac:dyDescent="0.25">
      <c r="A83" s="199">
        <v>329</v>
      </c>
      <c r="B83" s="178" t="s">
        <v>162</v>
      </c>
      <c r="C83" s="152">
        <f>SUM(C84:C90)</f>
        <v>1235852.58</v>
      </c>
      <c r="D83" s="153">
        <f t="shared" ref="D83:G83" si="49">SUM(D84:D90)</f>
        <v>1466115</v>
      </c>
      <c r="E83" s="179">
        <f t="shared" si="49"/>
        <v>1607250</v>
      </c>
      <c r="F83" s="179">
        <f t="shared" si="49"/>
        <v>1310850</v>
      </c>
      <c r="G83" s="214">
        <f t="shared" si="49"/>
        <v>1310850</v>
      </c>
    </row>
    <row r="84" spans="1:7" ht="15" customHeight="1" x14ac:dyDescent="0.25">
      <c r="A84" s="202">
        <v>3291</v>
      </c>
      <c r="B84" s="177" t="s">
        <v>156</v>
      </c>
      <c r="C84" s="165">
        <v>5229</v>
      </c>
      <c r="D84" s="166">
        <v>4778</v>
      </c>
      <c r="E84" s="176">
        <v>4778</v>
      </c>
      <c r="F84" s="176">
        <v>4778</v>
      </c>
      <c r="G84" s="117">
        <v>4778</v>
      </c>
    </row>
    <row r="85" spans="1:7" ht="15" customHeight="1" x14ac:dyDescent="0.25">
      <c r="A85" s="202">
        <v>3292</v>
      </c>
      <c r="B85" s="177" t="s">
        <v>157</v>
      </c>
      <c r="C85" s="165">
        <v>648605.17000000004</v>
      </c>
      <c r="D85" s="166">
        <v>536864</v>
      </c>
      <c r="E85" s="176">
        <v>509585</v>
      </c>
      <c r="F85" s="176">
        <v>509585</v>
      </c>
      <c r="G85" s="117">
        <v>509585</v>
      </c>
    </row>
    <row r="86" spans="1:7" ht="15" customHeight="1" x14ac:dyDescent="0.25">
      <c r="A86" s="202">
        <v>3293</v>
      </c>
      <c r="B86" s="177" t="s">
        <v>158</v>
      </c>
      <c r="C86" s="165">
        <v>4615.1400000000003</v>
      </c>
      <c r="D86" s="166">
        <v>4911</v>
      </c>
      <c r="E86" s="176">
        <v>4878</v>
      </c>
      <c r="F86" s="176">
        <v>4878</v>
      </c>
      <c r="G86" s="117">
        <v>4878</v>
      </c>
    </row>
    <row r="87" spans="1:7" ht="15" customHeight="1" x14ac:dyDescent="0.25">
      <c r="A87" s="202">
        <v>3294</v>
      </c>
      <c r="B87" s="177" t="s">
        <v>159</v>
      </c>
      <c r="C87" s="165">
        <v>68974.33</v>
      </c>
      <c r="D87" s="166">
        <f>56407-26525+54000</f>
        <v>83882</v>
      </c>
      <c r="E87" s="176">
        <v>58380</v>
      </c>
      <c r="F87" s="176">
        <v>58380</v>
      </c>
      <c r="G87" s="117">
        <v>58380</v>
      </c>
    </row>
    <row r="88" spans="1:7" ht="15" customHeight="1" x14ac:dyDescent="0.25">
      <c r="A88" s="202">
        <v>3295</v>
      </c>
      <c r="B88" s="177" t="s">
        <v>160</v>
      </c>
      <c r="C88" s="165">
        <v>91338.16</v>
      </c>
      <c r="D88" s="166">
        <f>88128-40+145000-226</f>
        <v>232862</v>
      </c>
      <c r="E88" s="176">
        <v>221532</v>
      </c>
      <c r="F88" s="176">
        <v>225132</v>
      </c>
      <c r="G88" s="117">
        <v>225132</v>
      </c>
    </row>
    <row r="89" spans="1:7" ht="15" customHeight="1" x14ac:dyDescent="0.25">
      <c r="A89" s="202">
        <v>3296</v>
      </c>
      <c r="B89" s="177" t="s">
        <v>161</v>
      </c>
      <c r="C89" s="165">
        <v>406049.24</v>
      </c>
      <c r="D89" s="166">
        <f>336054+258000</f>
        <v>594054</v>
      </c>
      <c r="E89" s="176">
        <v>800133</v>
      </c>
      <c r="F89" s="176">
        <v>500133</v>
      </c>
      <c r="G89" s="117">
        <v>500133</v>
      </c>
    </row>
    <row r="90" spans="1:7" ht="15" customHeight="1" x14ac:dyDescent="0.25">
      <c r="A90" s="202">
        <v>3299</v>
      </c>
      <c r="B90" s="177" t="s">
        <v>162</v>
      </c>
      <c r="C90" s="165">
        <v>11041.54</v>
      </c>
      <c r="D90" s="166">
        <f>7964+800</f>
        <v>8764</v>
      </c>
      <c r="E90" s="176">
        <v>7964</v>
      </c>
      <c r="F90" s="176">
        <v>7964</v>
      </c>
      <c r="G90" s="117">
        <v>7964</v>
      </c>
    </row>
    <row r="91" spans="1:7" ht="15" customHeight="1" x14ac:dyDescent="0.25">
      <c r="A91" s="212">
        <v>34</v>
      </c>
      <c r="B91" s="183" t="s">
        <v>45</v>
      </c>
      <c r="C91" s="152">
        <f>C92</f>
        <v>475497.95999999996</v>
      </c>
      <c r="D91" s="153">
        <f t="shared" ref="D91:G91" si="50">D92</f>
        <v>735410</v>
      </c>
      <c r="E91" s="179">
        <f t="shared" si="50"/>
        <v>530999</v>
      </c>
      <c r="F91" s="179">
        <f t="shared" si="50"/>
        <v>406499</v>
      </c>
      <c r="G91" s="179">
        <f t="shared" si="50"/>
        <v>306499</v>
      </c>
    </row>
    <row r="92" spans="1:7" s="45" customFormat="1" ht="30" customHeight="1" x14ac:dyDescent="0.25">
      <c r="A92" s="217">
        <v>343</v>
      </c>
      <c r="B92" s="225" t="s">
        <v>241</v>
      </c>
      <c r="C92" s="152">
        <f>SUM(C93:C96)</f>
        <v>475497.95999999996</v>
      </c>
      <c r="D92" s="153">
        <f t="shared" ref="D92:G92" si="51">SUM(D93:D96)</f>
        <v>735410</v>
      </c>
      <c r="E92" s="179">
        <f t="shared" si="51"/>
        <v>530999</v>
      </c>
      <c r="F92" s="179">
        <f t="shared" si="51"/>
        <v>406499</v>
      </c>
      <c r="G92" s="179">
        <f t="shared" si="51"/>
        <v>306499</v>
      </c>
    </row>
    <row r="93" spans="1:7" ht="15" customHeight="1" x14ac:dyDescent="0.25">
      <c r="A93" s="202">
        <v>3431</v>
      </c>
      <c r="B93" s="177" t="s">
        <v>163</v>
      </c>
      <c r="C93" s="165">
        <v>18029.599999999999</v>
      </c>
      <c r="D93" s="166">
        <v>17386</v>
      </c>
      <c r="E93" s="176">
        <v>6132</v>
      </c>
      <c r="F93" s="176">
        <v>6132</v>
      </c>
      <c r="G93" s="117">
        <v>6132</v>
      </c>
    </row>
    <row r="94" spans="1:7" ht="15" customHeight="1" x14ac:dyDescent="0.25">
      <c r="A94" s="202">
        <v>3432</v>
      </c>
      <c r="B94" s="177" t="s">
        <v>164</v>
      </c>
      <c r="C94" s="165">
        <v>0</v>
      </c>
      <c r="D94" s="166">
        <v>1</v>
      </c>
      <c r="E94" s="176">
        <v>1</v>
      </c>
      <c r="F94" s="176">
        <v>1</v>
      </c>
      <c r="G94" s="117">
        <v>1</v>
      </c>
    </row>
    <row r="95" spans="1:7" ht="15" customHeight="1" x14ac:dyDescent="0.25">
      <c r="A95" s="202">
        <v>3433</v>
      </c>
      <c r="B95" s="177" t="s">
        <v>165</v>
      </c>
      <c r="C95" s="165">
        <v>457468.36</v>
      </c>
      <c r="D95" s="166">
        <f>371757+346000</f>
        <v>717757</v>
      </c>
      <c r="E95" s="176">
        <v>524633</v>
      </c>
      <c r="F95" s="176">
        <v>400133</v>
      </c>
      <c r="G95" s="117">
        <v>300133</v>
      </c>
    </row>
    <row r="96" spans="1:7" ht="15" customHeight="1" x14ac:dyDescent="0.25">
      <c r="A96" s="202">
        <v>3434</v>
      </c>
      <c r="B96" s="177" t="s">
        <v>166</v>
      </c>
      <c r="C96" s="165">
        <v>0</v>
      </c>
      <c r="D96" s="166">
        <v>266</v>
      </c>
      <c r="E96" s="176">
        <v>233</v>
      </c>
      <c r="F96" s="176">
        <v>233</v>
      </c>
      <c r="G96" s="117">
        <v>233</v>
      </c>
    </row>
    <row r="97" spans="1:7" ht="15" customHeight="1" x14ac:dyDescent="0.25">
      <c r="A97" s="212">
        <v>38</v>
      </c>
      <c r="B97" s="183" t="s">
        <v>46</v>
      </c>
      <c r="C97" s="152">
        <f>C98</f>
        <v>254866.54</v>
      </c>
      <c r="D97" s="153">
        <f t="shared" ref="D97:G98" si="52">D98</f>
        <v>715439</v>
      </c>
      <c r="E97" s="179">
        <f t="shared" si="52"/>
        <v>945133</v>
      </c>
      <c r="F97" s="179">
        <f t="shared" si="52"/>
        <v>800133</v>
      </c>
      <c r="G97" s="179">
        <f t="shared" si="52"/>
        <v>800133</v>
      </c>
    </row>
    <row r="98" spans="1:7" s="45" customFormat="1" ht="15" customHeight="1" x14ac:dyDescent="0.25">
      <c r="A98" s="217">
        <v>383</v>
      </c>
      <c r="B98" s="183" t="s">
        <v>242</v>
      </c>
      <c r="C98" s="152">
        <f>C99</f>
        <v>254866.54</v>
      </c>
      <c r="D98" s="153">
        <f t="shared" si="52"/>
        <v>715439</v>
      </c>
      <c r="E98" s="179">
        <f t="shared" si="52"/>
        <v>945133</v>
      </c>
      <c r="F98" s="179">
        <f t="shared" si="52"/>
        <v>800133</v>
      </c>
      <c r="G98" s="179">
        <f t="shared" si="52"/>
        <v>800133</v>
      </c>
    </row>
    <row r="99" spans="1:7" ht="15" customHeight="1" x14ac:dyDescent="0.25">
      <c r="A99" s="202">
        <v>3834</v>
      </c>
      <c r="B99" s="177" t="s">
        <v>219</v>
      </c>
      <c r="C99" s="165">
        <v>254866.54</v>
      </c>
      <c r="D99" s="166">
        <f>310439+405000</f>
        <v>715439</v>
      </c>
      <c r="E99" s="176">
        <v>945133</v>
      </c>
      <c r="F99" s="176">
        <v>800133</v>
      </c>
      <c r="G99" s="117">
        <v>800133</v>
      </c>
    </row>
    <row r="100" spans="1:7" s="45" customFormat="1" ht="15" customHeight="1" x14ac:dyDescent="0.25">
      <c r="A100" s="183">
        <v>4</v>
      </c>
      <c r="B100" s="184" t="s">
        <v>13</v>
      </c>
      <c r="C100" s="152">
        <f>C101+C105+C124</f>
        <v>6282470.5631130124</v>
      </c>
      <c r="D100" s="153">
        <f t="shared" ref="D100:G100" si="53">D101+D105+D124</f>
        <v>44124970</v>
      </c>
      <c r="E100" s="179">
        <f t="shared" si="53"/>
        <v>32774096</v>
      </c>
      <c r="F100" s="179">
        <f t="shared" si="53"/>
        <v>12915431</v>
      </c>
      <c r="G100" s="179">
        <f t="shared" si="53"/>
        <v>10122152</v>
      </c>
    </row>
    <row r="101" spans="1:7" ht="15" customHeight="1" x14ac:dyDescent="0.25">
      <c r="A101" s="199">
        <v>41</v>
      </c>
      <c r="B101" s="184" t="s">
        <v>14</v>
      </c>
      <c r="C101" s="152">
        <f>C102</f>
        <v>79633.679999999993</v>
      </c>
      <c r="D101" s="153">
        <f t="shared" ref="D101:G101" si="54">D102</f>
        <v>132723</v>
      </c>
      <c r="E101" s="179">
        <f t="shared" si="54"/>
        <v>0</v>
      </c>
      <c r="F101" s="179">
        <f t="shared" si="54"/>
        <v>0</v>
      </c>
      <c r="G101" s="179">
        <f t="shared" si="54"/>
        <v>0</v>
      </c>
    </row>
    <row r="102" spans="1:7" s="45" customFormat="1" ht="15" customHeight="1" x14ac:dyDescent="0.25">
      <c r="A102" s="215">
        <v>412</v>
      </c>
      <c r="B102" s="184" t="s">
        <v>243</v>
      </c>
      <c r="C102" s="152">
        <f>SUM(C103:C104)</f>
        <v>79633.679999999993</v>
      </c>
      <c r="D102" s="153">
        <f t="shared" ref="D102:G102" si="55">SUM(D103:D104)</f>
        <v>132723</v>
      </c>
      <c r="E102" s="179">
        <f t="shared" si="55"/>
        <v>0</v>
      </c>
      <c r="F102" s="179">
        <f t="shared" si="55"/>
        <v>0</v>
      </c>
      <c r="G102" s="179">
        <f t="shared" si="55"/>
        <v>0</v>
      </c>
    </row>
    <row r="103" spans="1:7" s="89" customFormat="1" ht="15" customHeight="1" x14ac:dyDescent="0.25">
      <c r="A103" s="202">
        <v>4123</v>
      </c>
      <c r="B103" s="221" t="s">
        <v>167</v>
      </c>
      <c r="C103" s="165">
        <v>0</v>
      </c>
      <c r="D103" s="166">
        <v>132723</v>
      </c>
      <c r="E103" s="176">
        <v>0</v>
      </c>
      <c r="F103" s="176">
        <v>0</v>
      </c>
      <c r="G103" s="176">
        <v>0</v>
      </c>
    </row>
    <row r="104" spans="1:7" ht="15" customHeight="1" x14ac:dyDescent="0.25">
      <c r="A104" s="202">
        <v>4124</v>
      </c>
      <c r="B104" s="224" t="s">
        <v>168</v>
      </c>
      <c r="C104" s="165">
        <v>79633.679999999993</v>
      </c>
      <c r="D104" s="166">
        <v>0</v>
      </c>
      <c r="E104" s="176">
        <v>0</v>
      </c>
      <c r="F104" s="176">
        <v>0</v>
      </c>
      <c r="G104" s="119">
        <v>0</v>
      </c>
    </row>
    <row r="105" spans="1:7" s="45" customFormat="1" ht="15" customHeight="1" x14ac:dyDescent="0.25">
      <c r="A105" s="212">
        <v>42</v>
      </c>
      <c r="B105" s="178" t="s">
        <v>47</v>
      </c>
      <c r="C105" s="152">
        <f>C106+C109+C116+C118+C121</f>
        <v>5271573.8531130124</v>
      </c>
      <c r="D105" s="153">
        <f t="shared" ref="D105:G105" si="56">D106+D109+D116+D118+D121</f>
        <v>24130781</v>
      </c>
      <c r="E105" s="179">
        <f t="shared" si="56"/>
        <v>6064700</v>
      </c>
      <c r="F105" s="179">
        <f t="shared" si="56"/>
        <v>6480123</v>
      </c>
      <c r="G105" s="179">
        <f t="shared" si="56"/>
        <v>7833659</v>
      </c>
    </row>
    <row r="106" spans="1:7" s="45" customFormat="1" ht="15" customHeight="1" x14ac:dyDescent="0.25">
      <c r="A106" s="217">
        <v>421</v>
      </c>
      <c r="B106" s="178" t="s">
        <v>244</v>
      </c>
      <c r="C106" s="152">
        <f>SUM(C107:C108)</f>
        <v>0</v>
      </c>
      <c r="D106" s="153">
        <f t="shared" ref="D106:G106" si="57">SUM(D107:D108)</f>
        <v>12766</v>
      </c>
      <c r="E106" s="179">
        <f t="shared" si="57"/>
        <v>2508</v>
      </c>
      <c r="F106" s="179">
        <f t="shared" si="57"/>
        <v>2495</v>
      </c>
      <c r="G106" s="179">
        <f t="shared" si="57"/>
        <v>2485</v>
      </c>
    </row>
    <row r="107" spans="1:7" ht="15" customHeight="1" x14ac:dyDescent="0.25">
      <c r="A107" s="202">
        <v>4212</v>
      </c>
      <c r="B107" s="177" t="s">
        <v>169</v>
      </c>
      <c r="C107" s="165">
        <v>0</v>
      </c>
      <c r="D107" s="166">
        <v>664</v>
      </c>
      <c r="E107" s="176">
        <v>0</v>
      </c>
      <c r="F107" s="176">
        <v>0</v>
      </c>
      <c r="G107" s="176">
        <v>0</v>
      </c>
    </row>
    <row r="108" spans="1:7" ht="15" customHeight="1" x14ac:dyDescent="0.25">
      <c r="A108" s="202">
        <v>4214</v>
      </c>
      <c r="B108" s="221" t="s">
        <v>170</v>
      </c>
      <c r="C108" s="165">
        <v>0</v>
      </c>
      <c r="D108" s="166">
        <v>12102</v>
      </c>
      <c r="E108" s="176">
        <v>2508</v>
      </c>
      <c r="F108" s="176">
        <v>2495</v>
      </c>
      <c r="G108" s="176">
        <v>2485</v>
      </c>
    </row>
    <row r="109" spans="1:7" s="45" customFormat="1" ht="15" customHeight="1" x14ac:dyDescent="0.25">
      <c r="A109" s="203">
        <v>422</v>
      </c>
      <c r="B109" s="101" t="s">
        <v>245</v>
      </c>
      <c r="C109" s="152">
        <f>SUM(C110:C115)</f>
        <v>4877415.2599641643</v>
      </c>
      <c r="D109" s="153">
        <f t="shared" ref="D109:G109" si="58">SUM(D110:D115)</f>
        <v>23710012</v>
      </c>
      <c r="E109" s="179">
        <f t="shared" si="58"/>
        <v>5931663</v>
      </c>
      <c r="F109" s="179">
        <f t="shared" si="58"/>
        <v>5347100</v>
      </c>
      <c r="G109" s="179">
        <f t="shared" si="58"/>
        <v>7300646</v>
      </c>
    </row>
    <row r="110" spans="1:7" ht="15" customHeight="1" x14ac:dyDescent="0.25">
      <c r="A110" s="201">
        <v>4221</v>
      </c>
      <c r="B110" s="221" t="s">
        <v>171</v>
      </c>
      <c r="C110" s="165">
        <v>673419.35</v>
      </c>
      <c r="D110" s="166">
        <f>137436+10933-700+103000-3970+61949</f>
        <v>308648</v>
      </c>
      <c r="E110" s="176">
        <v>948499</v>
      </c>
      <c r="F110" s="176">
        <v>928499</v>
      </c>
      <c r="G110" s="176">
        <v>1407150</v>
      </c>
    </row>
    <row r="111" spans="1:7" ht="15" customHeight="1" x14ac:dyDescent="0.25">
      <c r="A111" s="201">
        <v>4222</v>
      </c>
      <c r="B111" s="177" t="s">
        <v>172</v>
      </c>
      <c r="C111" s="165">
        <v>0</v>
      </c>
      <c r="D111" s="166">
        <f>19378-19112</f>
        <v>266</v>
      </c>
      <c r="E111" s="176">
        <v>60233</v>
      </c>
      <c r="F111" s="176">
        <v>50233</v>
      </c>
      <c r="G111" s="117">
        <v>50233</v>
      </c>
    </row>
    <row r="112" spans="1:7" ht="15" customHeight="1" x14ac:dyDescent="0.25">
      <c r="A112" s="201">
        <v>4223</v>
      </c>
      <c r="B112" s="177" t="s">
        <v>173</v>
      </c>
      <c r="C112" s="165">
        <v>130405.25045059394</v>
      </c>
      <c r="D112" s="166">
        <f>397139+75000-175194</f>
        <v>296945</v>
      </c>
      <c r="E112" s="185">
        <v>13372</v>
      </c>
      <c r="F112" s="185">
        <v>13372</v>
      </c>
      <c r="G112" s="117">
        <v>13372</v>
      </c>
    </row>
    <row r="113" spans="1:7" ht="15" customHeight="1" x14ac:dyDescent="0.25">
      <c r="A113" s="201">
        <v>4224</v>
      </c>
      <c r="B113" s="177" t="s">
        <v>174</v>
      </c>
      <c r="C113" s="165">
        <v>4024952.9895135709</v>
      </c>
      <c r="D113" s="166">
        <f>22609866+3880-34939+456235-197990+21985+194306</f>
        <v>23053343</v>
      </c>
      <c r="E113" s="185">
        <v>4882815</v>
      </c>
      <c r="F113" s="185">
        <v>4328252</v>
      </c>
      <c r="G113" s="117">
        <v>5803147</v>
      </c>
    </row>
    <row r="114" spans="1:7" ht="15" customHeight="1" x14ac:dyDescent="0.25">
      <c r="A114" s="201">
        <v>4225</v>
      </c>
      <c r="B114" s="177" t="s">
        <v>175</v>
      </c>
      <c r="C114" s="165">
        <v>2738.82</v>
      </c>
      <c r="D114" s="166">
        <v>13405</v>
      </c>
      <c r="E114" s="185">
        <v>13372</v>
      </c>
      <c r="F114" s="185">
        <v>13372</v>
      </c>
      <c r="G114" s="117">
        <v>13372</v>
      </c>
    </row>
    <row r="115" spans="1:7" ht="15" customHeight="1" x14ac:dyDescent="0.25">
      <c r="A115" s="201">
        <v>4227</v>
      </c>
      <c r="B115" s="177" t="s">
        <v>176</v>
      </c>
      <c r="C115" s="165">
        <v>45898.85</v>
      </c>
      <c r="D115" s="166">
        <f>13405+24000</f>
        <v>37405</v>
      </c>
      <c r="E115" s="185">
        <v>13372</v>
      </c>
      <c r="F115" s="185">
        <v>13372</v>
      </c>
      <c r="G115" s="117">
        <v>13372</v>
      </c>
    </row>
    <row r="116" spans="1:7" s="45" customFormat="1" ht="15" customHeight="1" x14ac:dyDescent="0.25">
      <c r="A116" s="200">
        <v>423</v>
      </c>
      <c r="B116" s="178" t="s">
        <v>246</v>
      </c>
      <c r="C116" s="152">
        <f>C117</f>
        <v>7347.8664808547346</v>
      </c>
      <c r="D116" s="153">
        <f t="shared" ref="D116:G116" si="59">D117</f>
        <v>254000</v>
      </c>
      <c r="E116" s="154">
        <f t="shared" si="59"/>
        <v>50000</v>
      </c>
      <c r="F116" s="154">
        <f t="shared" si="59"/>
        <v>0</v>
      </c>
      <c r="G116" s="214">
        <f t="shared" si="59"/>
        <v>0</v>
      </c>
    </row>
    <row r="117" spans="1:7" ht="15" customHeight="1" x14ac:dyDescent="0.25">
      <c r="A117" s="201">
        <v>4231</v>
      </c>
      <c r="B117" s="177" t="s">
        <v>177</v>
      </c>
      <c r="C117" s="165">
        <v>7347.8664808547346</v>
      </c>
      <c r="D117" s="166">
        <v>254000</v>
      </c>
      <c r="E117" s="185">
        <v>50000</v>
      </c>
      <c r="F117" s="185">
        <v>0</v>
      </c>
      <c r="G117" s="117">
        <v>0</v>
      </c>
    </row>
    <row r="118" spans="1:7" s="45" customFormat="1" ht="15" customHeight="1" x14ac:dyDescent="0.25">
      <c r="A118" s="200">
        <v>424</v>
      </c>
      <c r="B118" s="178" t="s">
        <v>247</v>
      </c>
      <c r="C118" s="152">
        <f>C119+C120</f>
        <v>1052.3724202004114</v>
      </c>
      <c r="D118" s="153">
        <f t="shared" ref="D118:G118" si="60">D119+D120</f>
        <v>1195</v>
      </c>
      <c r="E118" s="154">
        <f t="shared" si="60"/>
        <v>1129</v>
      </c>
      <c r="F118" s="154">
        <f t="shared" si="60"/>
        <v>1129</v>
      </c>
      <c r="G118" s="214">
        <f t="shared" si="60"/>
        <v>1129</v>
      </c>
    </row>
    <row r="119" spans="1:7" ht="15" customHeight="1" x14ac:dyDescent="0.25">
      <c r="A119" s="201">
        <v>4241</v>
      </c>
      <c r="B119" s="177" t="s">
        <v>178</v>
      </c>
      <c r="C119" s="165">
        <v>1052.3724202004114</v>
      </c>
      <c r="D119" s="166">
        <v>929</v>
      </c>
      <c r="E119" s="185">
        <v>896</v>
      </c>
      <c r="F119" s="185">
        <v>896</v>
      </c>
      <c r="G119" s="117">
        <v>896</v>
      </c>
    </row>
    <row r="120" spans="1:7" ht="15" customHeight="1" x14ac:dyDescent="0.25">
      <c r="A120" s="201">
        <v>4242</v>
      </c>
      <c r="B120" s="177" t="s">
        <v>179</v>
      </c>
      <c r="C120" s="165">
        <v>0</v>
      </c>
      <c r="D120" s="166">
        <v>266</v>
      </c>
      <c r="E120" s="185">
        <v>233</v>
      </c>
      <c r="F120" s="185">
        <v>233</v>
      </c>
      <c r="G120" s="117">
        <v>233</v>
      </c>
    </row>
    <row r="121" spans="1:7" s="45" customFormat="1" ht="15" customHeight="1" x14ac:dyDescent="0.25">
      <c r="A121" s="200">
        <v>426</v>
      </c>
      <c r="B121" s="178" t="s">
        <v>248</v>
      </c>
      <c r="C121" s="152">
        <f>C122+C123</f>
        <v>385758.35424779344</v>
      </c>
      <c r="D121" s="153">
        <f t="shared" ref="D121:G121" si="61">D122+D123</f>
        <v>152808</v>
      </c>
      <c r="E121" s="154">
        <f t="shared" si="61"/>
        <v>79400</v>
      </c>
      <c r="F121" s="154">
        <f t="shared" si="61"/>
        <v>1129399</v>
      </c>
      <c r="G121" s="214">
        <f t="shared" si="61"/>
        <v>529399</v>
      </c>
    </row>
    <row r="122" spans="1:7" ht="15" customHeight="1" x14ac:dyDescent="0.25">
      <c r="A122" s="201">
        <v>4262</v>
      </c>
      <c r="B122" s="177" t="s">
        <v>180</v>
      </c>
      <c r="C122" s="165">
        <v>385240.73529497639</v>
      </c>
      <c r="D122" s="166">
        <f>117675+35000</f>
        <v>152675</v>
      </c>
      <c r="E122" s="185">
        <v>79300</v>
      </c>
      <c r="F122" s="185">
        <v>1129299</v>
      </c>
      <c r="G122" s="117">
        <v>529299</v>
      </c>
    </row>
    <row r="123" spans="1:7" ht="15" customHeight="1" x14ac:dyDescent="0.25">
      <c r="A123" s="201">
        <v>4264</v>
      </c>
      <c r="B123" s="177" t="s">
        <v>181</v>
      </c>
      <c r="C123" s="165">
        <v>517.61895281704153</v>
      </c>
      <c r="D123" s="166">
        <v>133</v>
      </c>
      <c r="E123" s="185">
        <v>100</v>
      </c>
      <c r="F123" s="185">
        <v>100</v>
      </c>
      <c r="G123" s="117">
        <v>100</v>
      </c>
    </row>
    <row r="124" spans="1:7" s="45" customFormat="1" ht="15" customHeight="1" x14ac:dyDescent="0.25">
      <c r="A124" s="211">
        <v>45</v>
      </c>
      <c r="B124" s="178" t="s">
        <v>49</v>
      </c>
      <c r="C124" s="152">
        <f>C125+C127</f>
        <v>931263.03</v>
      </c>
      <c r="D124" s="153">
        <f t="shared" ref="D124:G124" si="62">D125+D127</f>
        <v>19861466</v>
      </c>
      <c r="E124" s="179">
        <f t="shared" si="62"/>
        <v>26709396</v>
      </c>
      <c r="F124" s="179">
        <f t="shared" si="62"/>
        <v>6435308</v>
      </c>
      <c r="G124" s="179">
        <f t="shared" si="62"/>
        <v>2288493</v>
      </c>
    </row>
    <row r="125" spans="1:7" s="45" customFormat="1" ht="15" customHeight="1" x14ac:dyDescent="0.25">
      <c r="A125" s="216">
        <v>451</v>
      </c>
      <c r="B125" s="178" t="s">
        <v>182</v>
      </c>
      <c r="C125" s="152">
        <f>C126</f>
        <v>931263.03</v>
      </c>
      <c r="D125" s="153">
        <f t="shared" ref="D125:G125" si="63">D126</f>
        <v>19860006</v>
      </c>
      <c r="E125" s="179">
        <f t="shared" si="63"/>
        <v>26708069</v>
      </c>
      <c r="F125" s="179">
        <f t="shared" si="63"/>
        <v>6433981</v>
      </c>
      <c r="G125" s="179">
        <f t="shared" si="63"/>
        <v>2287166</v>
      </c>
    </row>
    <row r="126" spans="1:7" ht="15" customHeight="1" x14ac:dyDescent="0.25">
      <c r="A126" s="201">
        <v>4511</v>
      </c>
      <c r="B126" s="177" t="s">
        <v>182</v>
      </c>
      <c r="C126" s="165">
        <v>931263.03</v>
      </c>
      <c r="D126" s="166">
        <f>21815386-1955380</f>
        <v>19860006</v>
      </c>
      <c r="E126" s="185">
        <v>26708069</v>
      </c>
      <c r="F126" s="185">
        <v>6433981</v>
      </c>
      <c r="G126" s="117">
        <v>2287166</v>
      </c>
    </row>
    <row r="127" spans="1:7" s="45" customFormat="1" ht="15" customHeight="1" x14ac:dyDescent="0.25">
      <c r="A127" s="200">
        <v>452</v>
      </c>
      <c r="B127" s="178" t="s">
        <v>183</v>
      </c>
      <c r="C127" s="152">
        <f>C128</f>
        <v>0</v>
      </c>
      <c r="D127" s="153">
        <f t="shared" ref="D127:G127" si="64">D128</f>
        <v>1460</v>
      </c>
      <c r="E127" s="154">
        <f t="shared" si="64"/>
        <v>1327</v>
      </c>
      <c r="F127" s="154">
        <f t="shared" si="64"/>
        <v>1327</v>
      </c>
      <c r="G127" s="214">
        <f t="shared" si="64"/>
        <v>1327</v>
      </c>
    </row>
    <row r="128" spans="1:7" ht="15" customHeight="1" x14ac:dyDescent="0.25">
      <c r="A128" s="201">
        <v>4521</v>
      </c>
      <c r="B128" s="177" t="s">
        <v>183</v>
      </c>
      <c r="C128" s="165">
        <v>0</v>
      </c>
      <c r="D128" s="166">
        <v>1460</v>
      </c>
      <c r="E128" s="185">
        <v>1327</v>
      </c>
      <c r="F128" s="185">
        <v>1327</v>
      </c>
      <c r="G128" s="117">
        <v>1327</v>
      </c>
    </row>
    <row r="129" spans="5:17" x14ac:dyDescent="0.25">
      <c r="E129" s="87"/>
      <c r="F129" s="87"/>
      <c r="G129" s="99"/>
    </row>
    <row r="130" spans="5:17" x14ac:dyDescent="0.25">
      <c r="E130" s="100"/>
      <c r="F130" s="100"/>
      <c r="G130" s="100"/>
      <c r="N130" s="49"/>
      <c r="O130" s="49"/>
      <c r="P130" s="49"/>
      <c r="Q130" s="49"/>
    </row>
    <row r="131" spans="5:17" ht="15" customHeight="1" x14ac:dyDescent="0.25">
      <c r="E131" s="100"/>
      <c r="F131" s="100"/>
      <c r="G131" s="100"/>
      <c r="N131" s="49"/>
      <c r="O131" s="49"/>
      <c r="P131" s="49"/>
      <c r="Q131" s="49"/>
    </row>
    <row r="132" spans="5:17" x14ac:dyDescent="0.25">
      <c r="E132" s="100"/>
      <c r="F132" s="100"/>
      <c r="G132" s="100"/>
      <c r="N132" s="49"/>
      <c r="O132" s="83"/>
      <c r="P132" s="49"/>
      <c r="Q132" s="49"/>
    </row>
    <row r="133" spans="5:17" x14ac:dyDescent="0.25">
      <c r="E133" s="100"/>
      <c r="F133" s="100"/>
      <c r="G133" s="100"/>
      <c r="N133" s="49"/>
      <c r="O133" s="49"/>
      <c r="P133" s="49"/>
      <c r="Q133" s="49"/>
    </row>
    <row r="134" spans="5:17" x14ac:dyDescent="0.25">
      <c r="E134" s="100"/>
      <c r="F134" s="100"/>
      <c r="G134" s="100"/>
      <c r="N134" s="49"/>
      <c r="O134" s="49"/>
      <c r="P134" s="49"/>
      <c r="Q134" s="49"/>
    </row>
    <row r="135" spans="5:17" x14ac:dyDescent="0.25">
      <c r="E135" s="100"/>
      <c r="F135" s="100"/>
      <c r="G135" s="100"/>
    </row>
    <row r="136" spans="5:17" ht="15" customHeight="1" x14ac:dyDescent="0.25">
      <c r="E136" s="100"/>
      <c r="F136" s="100"/>
      <c r="G136" s="100"/>
    </row>
    <row r="137" spans="5:17" x14ac:dyDescent="0.25">
      <c r="E137" s="100"/>
      <c r="F137" s="100"/>
      <c r="G137" s="100"/>
    </row>
    <row r="138" spans="5:17" x14ac:dyDescent="0.25">
      <c r="E138" s="100"/>
      <c r="F138" s="100"/>
      <c r="G138" s="100"/>
    </row>
    <row r="139" spans="5:17" x14ac:dyDescent="0.25">
      <c r="E139" s="100"/>
      <c r="F139" s="100"/>
      <c r="G139" s="100"/>
    </row>
    <row r="140" spans="5:17" x14ac:dyDescent="0.25">
      <c r="E140" s="100"/>
      <c r="F140" s="100"/>
      <c r="G140" s="100"/>
    </row>
    <row r="141" spans="5:17" ht="18.75" customHeight="1" x14ac:dyDescent="0.25">
      <c r="E141" s="100"/>
      <c r="F141" s="100"/>
      <c r="G141" s="100"/>
    </row>
    <row r="142" spans="5:17" ht="18.75" customHeight="1" x14ac:dyDescent="0.25">
      <c r="E142" s="100"/>
      <c r="F142" s="100"/>
      <c r="G142" s="100"/>
    </row>
    <row r="143" spans="5:17" x14ac:dyDescent="0.25">
      <c r="E143" s="100"/>
      <c r="F143" s="100"/>
      <c r="G143" s="100"/>
    </row>
    <row r="144" spans="5:17" x14ac:dyDescent="0.25">
      <c r="E144" s="100"/>
      <c r="F144" s="100"/>
      <c r="G144" s="100"/>
    </row>
    <row r="145" spans="1:7" x14ac:dyDescent="0.25">
      <c r="E145" s="100"/>
      <c r="F145" s="100"/>
      <c r="G145" s="100"/>
    </row>
    <row r="146" spans="1:7" x14ac:dyDescent="0.25">
      <c r="E146" s="100"/>
      <c r="F146" s="100"/>
      <c r="G146" s="100"/>
    </row>
    <row r="147" spans="1:7" x14ac:dyDescent="0.25">
      <c r="E147" s="100"/>
      <c r="F147" s="100"/>
      <c r="G147" s="100"/>
    </row>
    <row r="148" spans="1:7" x14ac:dyDescent="0.25">
      <c r="E148" s="100"/>
      <c r="F148" s="100"/>
      <c r="G148" s="100"/>
    </row>
    <row r="152" spans="1:7" s="49" customFormat="1" x14ac:dyDescent="0.25">
      <c r="A152"/>
      <c r="B152"/>
      <c r="C152"/>
      <c r="D152"/>
      <c r="E152"/>
      <c r="F152"/>
      <c r="G152"/>
    </row>
  </sheetData>
  <mergeCells count="3">
    <mergeCell ref="A1:G1"/>
    <mergeCell ref="A2:G2"/>
    <mergeCell ref="A4:G4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2" manualBreakCount="2">
    <brk id="40" max="6" man="1"/>
    <brk id="8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K70"/>
  <sheetViews>
    <sheetView tabSelected="1" topLeftCell="A16" zoomScale="85" zoomScaleNormal="85" workbookViewId="0">
      <selection activeCell="E30" sqref="E30:E35"/>
    </sheetView>
  </sheetViews>
  <sheetFormatPr defaultRowHeight="15" x14ac:dyDescent="0.25"/>
  <cols>
    <col min="1" max="1" width="10" customWidth="1"/>
    <col min="2" max="2" width="59.85546875" customWidth="1"/>
    <col min="3" max="3" width="20.140625" customWidth="1"/>
    <col min="4" max="4" width="20.85546875" customWidth="1"/>
    <col min="5" max="5" width="21.42578125" customWidth="1"/>
    <col min="6" max="6" width="23.85546875" customWidth="1"/>
    <col min="7" max="7" width="23.28515625" customWidth="1"/>
    <col min="8" max="8" width="11.28515625" bestFit="1" customWidth="1"/>
    <col min="9" max="9" width="16.7109375" customWidth="1"/>
    <col min="10" max="10" width="18" customWidth="1"/>
    <col min="11" max="11" width="17.7109375" customWidth="1"/>
    <col min="12" max="12" width="18.85546875" customWidth="1"/>
  </cols>
  <sheetData>
    <row r="1" spans="1:11" ht="18" x14ac:dyDescent="0.25">
      <c r="B1" s="3"/>
      <c r="C1" s="3"/>
      <c r="D1" s="4"/>
      <c r="E1" s="4"/>
    </row>
    <row r="2" spans="1:11" ht="15.75" customHeight="1" x14ac:dyDescent="0.25">
      <c r="B2" s="237" t="s">
        <v>107</v>
      </c>
      <c r="C2" s="237"/>
      <c r="D2" s="237"/>
      <c r="E2" s="237"/>
      <c r="F2" s="237"/>
      <c r="G2" s="237"/>
    </row>
    <row r="3" spans="1:11" ht="18" x14ac:dyDescent="0.25">
      <c r="B3" s="3"/>
      <c r="C3" s="3"/>
      <c r="D3" s="4"/>
      <c r="E3" s="4"/>
    </row>
    <row r="4" spans="1:11" ht="25.5" x14ac:dyDescent="0.25">
      <c r="A4" s="252" t="s">
        <v>15</v>
      </c>
      <c r="B4" s="253"/>
      <c r="C4" s="22" t="s">
        <v>108</v>
      </c>
      <c r="D4" s="22" t="s">
        <v>109</v>
      </c>
      <c r="E4" s="22" t="s">
        <v>110</v>
      </c>
      <c r="F4" s="22" t="s">
        <v>111</v>
      </c>
      <c r="G4" s="22" t="s">
        <v>112</v>
      </c>
    </row>
    <row r="5" spans="1:11" s="45" customFormat="1" ht="15" customHeight="1" x14ac:dyDescent="0.25">
      <c r="A5" s="101"/>
      <c r="B5" s="158" t="s">
        <v>105</v>
      </c>
      <c r="C5" s="152">
        <f t="shared" ref="C5:D5" si="0">C6+C9+C11+C13+C22+C24</f>
        <v>222471612.75000003</v>
      </c>
      <c r="D5" s="153">
        <f t="shared" si="0"/>
        <v>274910949</v>
      </c>
      <c r="E5" s="153">
        <f>E6+E9+E11+E13+E22+E24+E26</f>
        <v>284020538</v>
      </c>
      <c r="F5" s="153">
        <f t="shared" ref="F5:G5" si="1">F6+F9+F11+F13+F22+F24+F26</f>
        <v>283729649</v>
      </c>
      <c r="G5" s="153">
        <f t="shared" si="1"/>
        <v>302231122</v>
      </c>
      <c r="H5" s="48"/>
      <c r="I5" s="48"/>
      <c r="J5" s="48"/>
      <c r="K5" s="48"/>
    </row>
    <row r="6" spans="1:11" s="45" customFormat="1" ht="15" customHeight="1" x14ac:dyDescent="0.25">
      <c r="A6" s="150">
        <v>1</v>
      </c>
      <c r="B6" s="158" t="s">
        <v>10</v>
      </c>
      <c r="C6" s="152">
        <f>C7+C8</f>
        <v>37825671.649999999</v>
      </c>
      <c r="D6" s="153">
        <f t="shared" ref="D6:G6" si="2">D7+D8</f>
        <v>10731301</v>
      </c>
      <c r="E6" s="153">
        <f t="shared" si="2"/>
        <v>17432078</v>
      </c>
      <c r="F6" s="153">
        <f t="shared" si="2"/>
        <v>5402078</v>
      </c>
      <c r="G6" s="153">
        <f t="shared" si="2"/>
        <v>6735973</v>
      </c>
      <c r="H6" s="48"/>
      <c r="I6" s="48"/>
    </row>
    <row r="7" spans="1:11" ht="15" customHeight="1" x14ac:dyDescent="0.25">
      <c r="A7" s="157">
        <v>11</v>
      </c>
      <c r="B7" s="159" t="s">
        <v>10</v>
      </c>
      <c r="C7" s="165">
        <v>37725007.640000001</v>
      </c>
      <c r="D7" s="166">
        <v>10229872</v>
      </c>
      <c r="E7" s="166">
        <v>17432078</v>
      </c>
      <c r="F7" s="166">
        <v>5402078</v>
      </c>
      <c r="G7" s="166">
        <v>6735973</v>
      </c>
      <c r="H7" s="49"/>
    </row>
    <row r="8" spans="1:11" ht="15" customHeight="1" x14ac:dyDescent="0.25">
      <c r="A8" s="157">
        <v>12</v>
      </c>
      <c r="B8" s="160" t="s">
        <v>39</v>
      </c>
      <c r="C8" s="165">
        <v>100664.01</v>
      </c>
      <c r="D8" s="166">
        <v>501429</v>
      </c>
      <c r="E8" s="166">
        <v>0</v>
      </c>
      <c r="F8" s="166">
        <v>0</v>
      </c>
      <c r="G8" s="166">
        <v>0</v>
      </c>
      <c r="H8" s="49"/>
    </row>
    <row r="9" spans="1:11" s="45" customFormat="1" ht="15" customHeight="1" x14ac:dyDescent="0.25">
      <c r="A9" s="151">
        <v>3</v>
      </c>
      <c r="B9" s="161" t="s">
        <v>24</v>
      </c>
      <c r="C9" s="152">
        <f>C10</f>
        <v>2256403.59</v>
      </c>
      <c r="D9" s="153">
        <f t="shared" ref="D9:G9" si="3">D10</f>
        <v>2366352</v>
      </c>
      <c r="E9" s="153">
        <f t="shared" si="3"/>
        <v>1698796</v>
      </c>
      <c r="F9" s="153">
        <f t="shared" si="3"/>
        <v>1709831</v>
      </c>
      <c r="G9" s="153">
        <f t="shared" si="3"/>
        <v>1770277</v>
      </c>
      <c r="H9" s="95"/>
      <c r="I9"/>
      <c r="J9"/>
      <c r="K9"/>
    </row>
    <row r="10" spans="1:11" ht="15" customHeight="1" x14ac:dyDescent="0.25">
      <c r="A10" s="157">
        <v>31</v>
      </c>
      <c r="B10" s="162" t="s">
        <v>24</v>
      </c>
      <c r="C10" s="165">
        <v>2256403.59</v>
      </c>
      <c r="D10" s="166">
        <f>18218+2348001+133</f>
        <v>2366352</v>
      </c>
      <c r="E10" s="166">
        <f>398+1698398</f>
        <v>1698796</v>
      </c>
      <c r="F10" s="166">
        <f>398+1709433</f>
        <v>1709831</v>
      </c>
      <c r="G10" s="166">
        <f>398+1769879</f>
        <v>1770277</v>
      </c>
      <c r="H10" s="49"/>
    </row>
    <row r="11" spans="1:11" s="45" customFormat="1" ht="15" customHeight="1" x14ac:dyDescent="0.25">
      <c r="A11" s="151">
        <v>4</v>
      </c>
      <c r="B11" s="161" t="s">
        <v>192</v>
      </c>
      <c r="C11" s="152">
        <f>C12</f>
        <v>178107073.5</v>
      </c>
      <c r="D11" s="153">
        <f t="shared" ref="D11:G11" si="4">D12</f>
        <v>217234486</v>
      </c>
      <c r="E11" s="153">
        <f t="shared" si="4"/>
        <v>249411354</v>
      </c>
      <c r="F11" s="153">
        <f t="shared" si="4"/>
        <v>269073533</v>
      </c>
      <c r="G11" s="153">
        <f t="shared" si="4"/>
        <v>290586746</v>
      </c>
      <c r="H11" s="95"/>
      <c r="I11"/>
      <c r="J11"/>
      <c r="K11"/>
    </row>
    <row r="12" spans="1:11" ht="15" customHeight="1" x14ac:dyDescent="0.25">
      <c r="A12" s="157">
        <v>43</v>
      </c>
      <c r="B12" s="162" t="s">
        <v>29</v>
      </c>
      <c r="C12" s="165">
        <v>178107073.5</v>
      </c>
      <c r="D12" s="166">
        <f>11579626+205528605+126255</f>
        <v>217234486</v>
      </c>
      <c r="E12" s="166">
        <f>12851461+236529893+30000</f>
        <v>249411354</v>
      </c>
      <c r="F12" s="166">
        <f>13937881+255110652+25000</f>
        <v>269073533</v>
      </c>
      <c r="G12" s="166">
        <f>15128108+275440638+18000</f>
        <v>290586746</v>
      </c>
      <c r="H12" s="49"/>
    </row>
    <row r="13" spans="1:11" s="45" customFormat="1" ht="15" customHeight="1" x14ac:dyDescent="0.25">
      <c r="A13" s="151">
        <v>5</v>
      </c>
      <c r="B13" s="163" t="s">
        <v>193</v>
      </c>
      <c r="C13" s="152">
        <f t="shared" ref="C13:G13" si="5">SUM(C14:C21)</f>
        <v>1908144.6199999999</v>
      </c>
      <c r="D13" s="153">
        <f t="shared" si="5"/>
        <v>44353409</v>
      </c>
      <c r="E13" s="153">
        <f t="shared" si="5"/>
        <v>4487446</v>
      </c>
      <c r="F13" s="153">
        <f t="shared" si="5"/>
        <v>673418</v>
      </c>
      <c r="G13" s="153">
        <f t="shared" si="5"/>
        <v>602542</v>
      </c>
      <c r="H13" s="108"/>
      <c r="I13"/>
      <c r="J13"/>
      <c r="K13"/>
    </row>
    <row r="14" spans="1:11" ht="15" customHeight="1" x14ac:dyDescent="0.25">
      <c r="A14" s="157">
        <v>51</v>
      </c>
      <c r="B14" s="162" t="s">
        <v>43</v>
      </c>
      <c r="C14" s="165">
        <v>0</v>
      </c>
      <c r="D14" s="166">
        <v>0</v>
      </c>
      <c r="E14" s="166">
        <v>0</v>
      </c>
      <c r="F14" s="166">
        <v>0</v>
      </c>
      <c r="G14" s="166">
        <v>0</v>
      </c>
      <c r="H14" s="49"/>
    </row>
    <row r="15" spans="1:11" ht="15" customHeight="1" x14ac:dyDescent="0.25">
      <c r="A15" s="157">
        <v>52</v>
      </c>
      <c r="B15" s="162" t="s">
        <v>28</v>
      </c>
      <c r="C15" s="165">
        <v>1483302.13</v>
      </c>
      <c r="D15" s="166">
        <v>8926654</v>
      </c>
      <c r="E15" s="166">
        <v>4487446</v>
      </c>
      <c r="F15" s="166">
        <v>673418</v>
      </c>
      <c r="G15" s="166">
        <v>602542</v>
      </c>
      <c r="H15" s="49"/>
      <c r="I15" s="45"/>
      <c r="J15" s="45"/>
      <c r="K15" s="45"/>
    </row>
    <row r="16" spans="1:11" ht="15" customHeight="1" x14ac:dyDescent="0.25">
      <c r="A16" s="157">
        <v>559</v>
      </c>
      <c r="B16" s="162" t="s">
        <v>196</v>
      </c>
      <c r="C16" s="165">
        <v>101643.31</v>
      </c>
      <c r="D16" s="166">
        <v>50230</v>
      </c>
      <c r="E16" s="166">
        <v>0</v>
      </c>
      <c r="F16" s="166">
        <v>0</v>
      </c>
      <c r="G16" s="166">
        <v>0</v>
      </c>
      <c r="H16" s="49"/>
    </row>
    <row r="17" spans="1:11" ht="15" customHeight="1" x14ac:dyDescent="0.25">
      <c r="A17" s="157">
        <v>561</v>
      </c>
      <c r="B17" s="162" t="s">
        <v>197</v>
      </c>
      <c r="C17" s="165">
        <v>28456.38</v>
      </c>
      <c r="D17" s="166">
        <v>2593775</v>
      </c>
      <c r="E17" s="166">
        <v>0</v>
      </c>
      <c r="F17" s="166">
        <v>0</v>
      </c>
      <c r="G17" s="166">
        <v>0</v>
      </c>
      <c r="H17" s="49"/>
      <c r="I17" s="120"/>
      <c r="J17" s="120"/>
    </row>
    <row r="18" spans="1:11" ht="15" customHeight="1" x14ac:dyDescent="0.25">
      <c r="A18" s="157">
        <v>563</v>
      </c>
      <c r="B18" s="162" t="s">
        <v>198</v>
      </c>
      <c r="C18" s="165">
        <v>216902.44</v>
      </c>
      <c r="D18" s="166">
        <v>225158</v>
      </c>
      <c r="E18" s="166">
        <v>0</v>
      </c>
      <c r="F18" s="166">
        <v>0</v>
      </c>
      <c r="G18" s="166">
        <v>0</v>
      </c>
      <c r="H18" s="49"/>
      <c r="I18" s="120"/>
      <c r="J18" s="120"/>
    </row>
    <row r="19" spans="1:11" ht="15" customHeight="1" x14ac:dyDescent="0.25">
      <c r="A19" s="102">
        <v>5761</v>
      </c>
      <c r="B19" s="162" t="s">
        <v>199</v>
      </c>
      <c r="C19" s="165">
        <v>77840.36</v>
      </c>
      <c r="D19" s="166">
        <v>10346257</v>
      </c>
      <c r="E19" s="166">
        <v>0</v>
      </c>
      <c r="F19" s="166">
        <v>0</v>
      </c>
      <c r="G19" s="166">
        <v>0</v>
      </c>
      <c r="H19" s="49"/>
      <c r="I19" s="120"/>
      <c r="J19" s="120"/>
      <c r="K19" s="45"/>
    </row>
    <row r="20" spans="1:11" ht="15" customHeight="1" x14ac:dyDescent="0.25">
      <c r="A20" s="102">
        <v>5762</v>
      </c>
      <c r="B20" s="162" t="s">
        <v>200</v>
      </c>
      <c r="C20" s="165">
        <v>0</v>
      </c>
      <c r="D20" s="166">
        <v>645079</v>
      </c>
      <c r="E20" s="166">
        <v>0</v>
      </c>
      <c r="F20" s="166">
        <v>0</v>
      </c>
      <c r="G20" s="166">
        <v>0</v>
      </c>
      <c r="H20" s="49"/>
      <c r="I20" s="120"/>
      <c r="J20" s="120"/>
    </row>
    <row r="21" spans="1:11" ht="15" customHeight="1" x14ac:dyDescent="0.25">
      <c r="A21" s="157">
        <v>581</v>
      </c>
      <c r="B21" s="162" t="s">
        <v>201</v>
      </c>
      <c r="C21" s="165">
        <v>0</v>
      </c>
      <c r="D21" s="166">
        <v>21566256</v>
      </c>
      <c r="E21" s="166">
        <v>0</v>
      </c>
      <c r="F21" s="166">
        <v>0</v>
      </c>
      <c r="G21" s="166">
        <v>0</v>
      </c>
      <c r="H21" s="49"/>
      <c r="I21" s="49"/>
      <c r="J21" s="49"/>
    </row>
    <row r="22" spans="1:11" s="45" customFormat="1" ht="15" customHeight="1" x14ac:dyDescent="0.25">
      <c r="A22" s="151">
        <v>6</v>
      </c>
      <c r="B22" s="163" t="s">
        <v>194</v>
      </c>
      <c r="C22" s="152">
        <f>C23</f>
        <v>2373175.12</v>
      </c>
      <c r="D22" s="153">
        <f t="shared" ref="D22:G22" si="6">D23</f>
        <v>224206</v>
      </c>
      <c r="E22" s="153">
        <f t="shared" si="6"/>
        <v>113264</v>
      </c>
      <c r="F22" s="153">
        <f t="shared" si="6"/>
        <v>74664</v>
      </c>
      <c r="G22" s="153">
        <f t="shared" si="6"/>
        <v>119861</v>
      </c>
      <c r="H22" s="95"/>
      <c r="I22" s="48"/>
    </row>
    <row r="23" spans="1:11" ht="15" customHeight="1" x14ac:dyDescent="0.25">
      <c r="A23" s="102">
        <v>61</v>
      </c>
      <c r="B23" s="162" t="s">
        <v>42</v>
      </c>
      <c r="C23" s="165">
        <v>2373175.12</v>
      </c>
      <c r="D23" s="166">
        <f>224206</f>
        <v>224206</v>
      </c>
      <c r="E23" s="166">
        <f>113264</f>
        <v>113264</v>
      </c>
      <c r="F23" s="166">
        <f>74664</f>
        <v>74664</v>
      </c>
      <c r="G23" s="166">
        <f>119861</f>
        <v>119861</v>
      </c>
      <c r="H23" s="49"/>
    </row>
    <row r="24" spans="1:11" s="45" customFormat="1" ht="30" customHeight="1" x14ac:dyDescent="0.25">
      <c r="A24" s="151">
        <v>7</v>
      </c>
      <c r="B24" s="164" t="s">
        <v>195</v>
      </c>
      <c r="C24" s="152">
        <f>C25</f>
        <v>1144.27</v>
      </c>
      <c r="D24" s="153">
        <f t="shared" ref="D24:G24" si="7">D25</f>
        <v>1195</v>
      </c>
      <c r="E24" s="153">
        <f t="shared" si="7"/>
        <v>1181</v>
      </c>
      <c r="F24" s="153">
        <f t="shared" si="7"/>
        <v>1168</v>
      </c>
      <c r="G24" s="153">
        <f t="shared" si="7"/>
        <v>1158</v>
      </c>
      <c r="H24" s="95"/>
      <c r="I24"/>
      <c r="J24"/>
      <c r="K24"/>
    </row>
    <row r="25" spans="1:11" ht="15" customHeight="1" x14ac:dyDescent="0.25">
      <c r="A25" s="102">
        <v>71</v>
      </c>
      <c r="B25" s="162" t="s">
        <v>48</v>
      </c>
      <c r="C25" s="165">
        <v>1144.27</v>
      </c>
      <c r="D25" s="166">
        <v>1195</v>
      </c>
      <c r="E25" s="166">
        <v>1181</v>
      </c>
      <c r="F25" s="166">
        <v>1168</v>
      </c>
      <c r="G25" s="166">
        <v>1158</v>
      </c>
      <c r="H25" s="49"/>
    </row>
    <row r="26" spans="1:11" s="45" customFormat="1" ht="15" customHeight="1" x14ac:dyDescent="0.25">
      <c r="A26" s="156">
        <v>8</v>
      </c>
      <c r="B26" s="219" t="s">
        <v>231</v>
      </c>
      <c r="C26" s="152">
        <v>0</v>
      </c>
      <c r="D26" s="153">
        <v>0</v>
      </c>
      <c r="E26" s="153">
        <f>E27</f>
        <v>10876419</v>
      </c>
      <c r="F26" s="153">
        <f t="shared" ref="F26:G26" si="8">F27</f>
        <v>6794957</v>
      </c>
      <c r="G26" s="153">
        <f t="shared" si="8"/>
        <v>2414565</v>
      </c>
      <c r="H26" s="95"/>
    </row>
    <row r="27" spans="1:11" ht="15" customHeight="1" x14ac:dyDescent="0.25">
      <c r="A27" s="102">
        <v>815</v>
      </c>
      <c r="B27" s="162" t="s">
        <v>232</v>
      </c>
      <c r="C27" s="165">
        <v>0</v>
      </c>
      <c r="D27" s="166">
        <v>0</v>
      </c>
      <c r="E27" s="166">
        <v>10876419</v>
      </c>
      <c r="F27" s="166">
        <v>6794957</v>
      </c>
      <c r="G27" s="166">
        <v>2414565</v>
      </c>
      <c r="H27" s="49"/>
    </row>
    <row r="28" spans="1:11" x14ac:dyDescent="0.25">
      <c r="A28" s="109"/>
      <c r="B28" s="110"/>
      <c r="C28" s="86"/>
      <c r="D28" s="86"/>
      <c r="E28" s="86"/>
      <c r="F28" s="86"/>
      <c r="G28" s="86"/>
      <c r="H28" s="49"/>
    </row>
    <row r="29" spans="1:11" ht="15" customHeight="1" x14ac:dyDescent="0.25">
      <c r="A29" s="249" t="s">
        <v>30</v>
      </c>
      <c r="B29" s="249"/>
      <c r="C29" s="249"/>
      <c r="D29" s="249"/>
      <c r="E29" s="109"/>
      <c r="F29" s="109"/>
      <c r="G29" s="109"/>
      <c r="H29" s="49"/>
    </row>
    <row r="30" spans="1:11" ht="15" customHeight="1" x14ac:dyDescent="0.25">
      <c r="A30" s="167">
        <v>931</v>
      </c>
      <c r="B30" s="168" t="s">
        <v>184</v>
      </c>
      <c r="C30" s="168"/>
      <c r="D30" s="166">
        <v>371291</v>
      </c>
      <c r="E30" s="227">
        <v>344143</v>
      </c>
      <c r="F30" s="166">
        <v>325545</v>
      </c>
      <c r="G30" s="166">
        <v>317983</v>
      </c>
      <c r="H30" s="49"/>
    </row>
    <row r="31" spans="1:11" ht="15" customHeight="1" x14ac:dyDescent="0.25">
      <c r="A31" s="167">
        <v>943</v>
      </c>
      <c r="B31" s="168" t="s">
        <v>185</v>
      </c>
      <c r="C31" s="168"/>
      <c r="D31" s="166">
        <v>269385</v>
      </c>
      <c r="E31" s="227">
        <v>600539</v>
      </c>
      <c r="F31" s="166">
        <v>600539</v>
      </c>
      <c r="G31" s="166">
        <v>600539</v>
      </c>
      <c r="H31" s="49"/>
    </row>
    <row r="32" spans="1:11" ht="15" customHeight="1" x14ac:dyDescent="0.25">
      <c r="A32" s="167">
        <v>952</v>
      </c>
      <c r="B32" s="168" t="s">
        <v>186</v>
      </c>
      <c r="C32" s="168"/>
      <c r="D32" s="166">
        <v>579773</v>
      </c>
      <c r="E32" s="227">
        <v>27976</v>
      </c>
      <c r="F32" s="166">
        <v>150000</v>
      </c>
      <c r="G32" s="166">
        <v>174265</v>
      </c>
      <c r="H32" s="49"/>
    </row>
    <row r="33" spans="1:11" ht="15" customHeight="1" x14ac:dyDescent="0.25">
      <c r="A33" s="167">
        <v>961</v>
      </c>
      <c r="B33" s="168" t="s">
        <v>187</v>
      </c>
      <c r="C33" s="168"/>
      <c r="D33" s="166">
        <v>683662</v>
      </c>
      <c r="E33" s="227">
        <v>541268</v>
      </c>
      <c r="F33" s="166">
        <v>457037</v>
      </c>
      <c r="G33" s="166">
        <v>384206</v>
      </c>
      <c r="H33" s="49"/>
    </row>
    <row r="34" spans="1:11" ht="15" customHeight="1" x14ac:dyDescent="0.25">
      <c r="A34" s="167">
        <v>971</v>
      </c>
      <c r="B34" s="168" t="s">
        <v>188</v>
      </c>
      <c r="C34" s="168"/>
      <c r="D34" s="166">
        <v>15473</v>
      </c>
      <c r="E34" s="227">
        <v>15473</v>
      </c>
      <c r="F34" s="166">
        <v>15473</v>
      </c>
      <c r="G34" s="166">
        <v>15473</v>
      </c>
      <c r="H34" s="49"/>
      <c r="I34" s="45"/>
      <c r="J34" s="45"/>
      <c r="K34" s="45"/>
    </row>
    <row r="35" spans="1:11" s="89" customFormat="1" ht="15" customHeight="1" x14ac:dyDescent="0.25">
      <c r="A35" s="250" t="s">
        <v>189</v>
      </c>
      <c r="B35" s="251"/>
      <c r="C35" s="153">
        <f t="shared" ref="C35:G35" si="9">SUM(C30:C34)</f>
        <v>0</v>
      </c>
      <c r="D35" s="153">
        <f t="shared" si="9"/>
        <v>1919584</v>
      </c>
      <c r="E35" s="153">
        <f t="shared" si="9"/>
        <v>1529399</v>
      </c>
      <c r="F35" s="153">
        <f t="shared" si="9"/>
        <v>1548594</v>
      </c>
      <c r="G35" s="153">
        <f t="shared" si="9"/>
        <v>1492466</v>
      </c>
      <c r="H35" s="220"/>
    </row>
    <row r="36" spans="1:11" ht="15" customHeight="1" x14ac:dyDescent="0.25">
      <c r="A36" s="109"/>
      <c r="B36" s="111"/>
      <c r="C36" s="109"/>
      <c r="D36" s="109"/>
      <c r="E36" s="109"/>
      <c r="F36" s="109"/>
      <c r="G36" s="109"/>
      <c r="H36" s="49"/>
      <c r="I36" s="45"/>
      <c r="J36" s="45"/>
      <c r="K36" s="45"/>
    </row>
    <row r="37" spans="1:11" ht="25.5" x14ac:dyDescent="0.25">
      <c r="A37" s="252" t="s">
        <v>15</v>
      </c>
      <c r="B37" s="253"/>
      <c r="C37" s="22" t="s">
        <v>108</v>
      </c>
      <c r="D37" s="22" t="s">
        <v>109</v>
      </c>
      <c r="E37" s="22" t="s">
        <v>110</v>
      </c>
      <c r="F37" s="22" t="s">
        <v>111</v>
      </c>
      <c r="G37" s="22" t="s">
        <v>112</v>
      </c>
      <c r="H37" s="49"/>
      <c r="I37" s="45"/>
      <c r="J37" s="45"/>
      <c r="K37" s="45"/>
    </row>
    <row r="38" spans="1:11" ht="15" customHeight="1" x14ac:dyDescent="0.25">
      <c r="A38" s="112"/>
      <c r="B38" s="161" t="s">
        <v>106</v>
      </c>
      <c r="C38" s="152">
        <f>C39+C42+C44+C46+C55+C57</f>
        <v>224161690.44000003</v>
      </c>
      <c r="D38" s="153">
        <f>D39+D42+D44+D46+D55+D57</f>
        <v>275301134</v>
      </c>
      <c r="E38" s="153">
        <f>E39+E42+E44+E46+E55+E57+E59</f>
        <v>284001343</v>
      </c>
      <c r="F38" s="153">
        <f t="shared" ref="F38:G38" si="10">F39+F42+F44+F46+F55+F57+F59</f>
        <v>283785777</v>
      </c>
      <c r="G38" s="153">
        <f t="shared" si="10"/>
        <v>302243483</v>
      </c>
      <c r="H38" s="49"/>
    </row>
    <row r="39" spans="1:11" ht="15" customHeight="1" x14ac:dyDescent="0.25">
      <c r="A39" s="156">
        <v>1</v>
      </c>
      <c r="B39" s="161" t="s">
        <v>10</v>
      </c>
      <c r="C39" s="152">
        <f>C40+C41</f>
        <v>37825671.710000001</v>
      </c>
      <c r="D39" s="153">
        <f t="shared" ref="D39:G39" si="11">D40+D41</f>
        <v>10731301</v>
      </c>
      <c r="E39" s="153">
        <f>E40+E41</f>
        <v>17432078</v>
      </c>
      <c r="F39" s="153">
        <f t="shared" si="11"/>
        <v>5402078</v>
      </c>
      <c r="G39" s="153">
        <f t="shared" si="11"/>
        <v>6735973</v>
      </c>
      <c r="H39" s="49"/>
    </row>
    <row r="40" spans="1:11" ht="15" customHeight="1" x14ac:dyDescent="0.25">
      <c r="A40" s="157">
        <v>11</v>
      </c>
      <c r="B40" s="159" t="s">
        <v>10</v>
      </c>
      <c r="C40" s="165">
        <v>37725007.630000003</v>
      </c>
      <c r="D40" s="166">
        <v>10229872</v>
      </c>
      <c r="E40" s="166">
        <v>17432078</v>
      </c>
      <c r="F40" s="166">
        <v>5402078</v>
      </c>
      <c r="G40" s="166">
        <v>6735973</v>
      </c>
      <c r="H40" s="49"/>
    </row>
    <row r="41" spans="1:11" ht="15" customHeight="1" x14ac:dyDescent="0.25">
      <c r="A41" s="157">
        <v>12</v>
      </c>
      <c r="B41" s="160" t="s">
        <v>39</v>
      </c>
      <c r="C41" s="165">
        <v>100664.08</v>
      </c>
      <c r="D41" s="166">
        <v>501429</v>
      </c>
      <c r="E41" s="166">
        <v>0</v>
      </c>
      <c r="F41" s="166">
        <v>0</v>
      </c>
      <c r="G41" s="166">
        <v>0</v>
      </c>
      <c r="H41" s="49"/>
    </row>
    <row r="42" spans="1:11" ht="15" customHeight="1" x14ac:dyDescent="0.25">
      <c r="A42" s="151">
        <v>3</v>
      </c>
      <c r="B42" s="161" t="s">
        <v>24</v>
      </c>
      <c r="C42" s="152">
        <f>C43</f>
        <v>1564461.92</v>
      </c>
      <c r="D42" s="153">
        <f t="shared" ref="D42:G42" si="12">D43</f>
        <v>2393500</v>
      </c>
      <c r="E42" s="153">
        <f t="shared" si="12"/>
        <v>1717394</v>
      </c>
      <c r="F42" s="153">
        <f t="shared" si="12"/>
        <v>1717393</v>
      </c>
      <c r="G42" s="153">
        <f t="shared" si="12"/>
        <v>1717393</v>
      </c>
      <c r="H42" s="49"/>
    </row>
    <row r="43" spans="1:11" ht="15" customHeight="1" x14ac:dyDescent="0.25">
      <c r="A43" s="102">
        <v>31</v>
      </c>
      <c r="B43" s="162" t="s">
        <v>203</v>
      </c>
      <c r="C43" s="165">
        <v>1564461.92</v>
      </c>
      <c r="D43" s="166">
        <v>2393500</v>
      </c>
      <c r="E43" s="166">
        <v>1717394</v>
      </c>
      <c r="F43" s="166">
        <v>1717393</v>
      </c>
      <c r="G43" s="166">
        <v>1717393</v>
      </c>
      <c r="H43" s="49"/>
    </row>
    <row r="44" spans="1:11" ht="15" customHeight="1" x14ac:dyDescent="0.25">
      <c r="A44" s="151">
        <v>4</v>
      </c>
      <c r="B44" s="161" t="s">
        <v>202</v>
      </c>
      <c r="C44" s="152">
        <f>C45</f>
        <v>182722793.80000001</v>
      </c>
      <c r="D44" s="153">
        <f t="shared" ref="D44:G44" si="13">D45</f>
        <v>216903332</v>
      </c>
      <c r="E44" s="153">
        <f>E45</f>
        <v>249411354</v>
      </c>
      <c r="F44" s="153">
        <f t="shared" si="13"/>
        <v>269073533</v>
      </c>
      <c r="G44" s="153">
        <f t="shared" si="13"/>
        <v>290586746</v>
      </c>
      <c r="H44" s="49"/>
    </row>
    <row r="45" spans="1:11" ht="15" customHeight="1" x14ac:dyDescent="0.25">
      <c r="A45" s="102">
        <v>43</v>
      </c>
      <c r="B45" s="162" t="s">
        <v>29</v>
      </c>
      <c r="C45" s="165">
        <f>182722793.8</f>
        <v>182722793.80000001</v>
      </c>
      <c r="D45" s="166">
        <v>216903332</v>
      </c>
      <c r="E45" s="166">
        <v>249411354</v>
      </c>
      <c r="F45" s="166">
        <v>269073533</v>
      </c>
      <c r="G45" s="166">
        <v>290586746</v>
      </c>
      <c r="H45" s="49"/>
    </row>
    <row r="46" spans="1:11" ht="15" customHeight="1" x14ac:dyDescent="0.25">
      <c r="A46" s="151">
        <v>5</v>
      </c>
      <c r="B46" s="163" t="s">
        <v>193</v>
      </c>
      <c r="C46" s="152">
        <f>SUM(C47:C54)</f>
        <v>1857628.77</v>
      </c>
      <c r="D46" s="153">
        <f t="shared" ref="D46:G46" si="14">SUM(D47:D54)</f>
        <v>44905206</v>
      </c>
      <c r="E46" s="153">
        <f>SUM(E47:E54)</f>
        <v>4365422</v>
      </c>
      <c r="F46" s="153">
        <f t="shared" si="14"/>
        <v>649153</v>
      </c>
      <c r="G46" s="153">
        <f t="shared" si="14"/>
        <v>649153</v>
      </c>
      <c r="H46" s="49"/>
    </row>
    <row r="47" spans="1:11" s="49" customFormat="1" ht="15" customHeight="1" x14ac:dyDescent="0.25">
      <c r="A47" s="102">
        <v>51</v>
      </c>
      <c r="B47" s="162" t="s">
        <v>43</v>
      </c>
      <c r="C47" s="165">
        <v>150111.51999999999</v>
      </c>
      <c r="D47" s="166"/>
      <c r="E47" s="166">
        <v>0</v>
      </c>
      <c r="F47" s="166">
        <v>0</v>
      </c>
      <c r="G47" s="166">
        <v>0</v>
      </c>
      <c r="I47"/>
      <c r="J47"/>
      <c r="K47"/>
    </row>
    <row r="48" spans="1:11" ht="15" customHeight="1" x14ac:dyDescent="0.25">
      <c r="A48" s="102">
        <v>52</v>
      </c>
      <c r="B48" s="162" t="s">
        <v>28</v>
      </c>
      <c r="C48" s="165">
        <v>1300262.54</v>
      </c>
      <c r="D48" s="166">
        <v>9478451</v>
      </c>
      <c r="E48" s="171">
        <v>4365422</v>
      </c>
      <c r="F48" s="171">
        <v>649153</v>
      </c>
      <c r="G48" s="171">
        <v>649153</v>
      </c>
      <c r="H48" s="49"/>
    </row>
    <row r="49" spans="1:11" ht="15" customHeight="1" x14ac:dyDescent="0.25">
      <c r="A49" s="102">
        <v>559</v>
      </c>
      <c r="B49" s="162" t="s">
        <v>196</v>
      </c>
      <c r="C49" s="165">
        <v>101643.31</v>
      </c>
      <c r="D49" s="166">
        <v>50230</v>
      </c>
      <c r="E49" s="166">
        <v>0</v>
      </c>
      <c r="F49" s="166">
        <v>0</v>
      </c>
      <c r="G49" s="166">
        <v>0</v>
      </c>
      <c r="H49" s="49"/>
    </row>
    <row r="50" spans="1:11" ht="15" customHeight="1" x14ac:dyDescent="0.25">
      <c r="A50" s="102">
        <v>561</v>
      </c>
      <c r="B50" s="162" t="s">
        <v>41</v>
      </c>
      <c r="C50" s="165">
        <v>28456.36</v>
      </c>
      <c r="D50" s="166">
        <v>2593775</v>
      </c>
      <c r="E50" s="166">
        <v>0</v>
      </c>
      <c r="F50" s="166">
        <v>0</v>
      </c>
      <c r="G50" s="166">
        <v>0</v>
      </c>
      <c r="H50" s="49"/>
    </row>
    <row r="51" spans="1:11" ht="15" customHeight="1" x14ac:dyDescent="0.25">
      <c r="A51" s="102">
        <v>563</v>
      </c>
      <c r="B51" s="162" t="s">
        <v>40</v>
      </c>
      <c r="C51" s="165">
        <v>199314.67</v>
      </c>
      <c r="D51" s="166">
        <v>225158</v>
      </c>
      <c r="E51" s="166">
        <v>0</v>
      </c>
      <c r="F51" s="166">
        <v>0</v>
      </c>
      <c r="G51" s="166">
        <v>0</v>
      </c>
      <c r="H51" s="49"/>
    </row>
    <row r="52" spans="1:11" ht="15" customHeight="1" x14ac:dyDescent="0.25">
      <c r="A52" s="102">
        <v>5761</v>
      </c>
      <c r="B52" s="162" t="s">
        <v>69</v>
      </c>
      <c r="C52" s="165">
        <v>77840.37</v>
      </c>
      <c r="D52" s="166">
        <v>10346257</v>
      </c>
      <c r="E52" s="166">
        <v>0</v>
      </c>
      <c r="F52" s="166">
        <v>0</v>
      </c>
      <c r="G52" s="166">
        <v>0</v>
      </c>
      <c r="H52" s="49"/>
    </row>
    <row r="53" spans="1:11" ht="15" customHeight="1" x14ac:dyDescent="0.25">
      <c r="A53" s="102">
        <v>5762</v>
      </c>
      <c r="B53" s="162" t="s">
        <v>82</v>
      </c>
      <c r="C53" s="165">
        <v>0</v>
      </c>
      <c r="D53" s="166">
        <v>645079</v>
      </c>
      <c r="E53" s="166">
        <v>0</v>
      </c>
      <c r="F53" s="166">
        <v>0</v>
      </c>
      <c r="G53" s="166">
        <v>0</v>
      </c>
      <c r="H53" s="49"/>
    </row>
    <row r="54" spans="1:11" ht="15" customHeight="1" x14ac:dyDescent="0.25">
      <c r="A54" s="102">
        <v>581</v>
      </c>
      <c r="B54" s="162" t="s">
        <v>44</v>
      </c>
      <c r="C54" s="165">
        <v>0</v>
      </c>
      <c r="D54" s="166">
        <v>21566256</v>
      </c>
      <c r="E54" s="166">
        <v>0</v>
      </c>
      <c r="F54" s="166">
        <v>0</v>
      </c>
      <c r="G54" s="166">
        <v>0</v>
      </c>
      <c r="H54" s="49"/>
    </row>
    <row r="55" spans="1:11" ht="15" customHeight="1" x14ac:dyDescent="0.25">
      <c r="A55" s="151">
        <v>6</v>
      </c>
      <c r="B55" s="163" t="s">
        <v>194</v>
      </c>
      <c r="C55" s="152">
        <f>C56</f>
        <v>191134.24</v>
      </c>
      <c r="D55" s="153">
        <f t="shared" ref="D55:G55" si="15">D56</f>
        <v>366600</v>
      </c>
      <c r="E55" s="153">
        <f t="shared" si="15"/>
        <v>197495</v>
      </c>
      <c r="F55" s="153">
        <f t="shared" si="15"/>
        <v>147495</v>
      </c>
      <c r="G55" s="153">
        <f t="shared" si="15"/>
        <v>138495</v>
      </c>
      <c r="H55" s="49"/>
    </row>
    <row r="56" spans="1:11" ht="15" customHeight="1" x14ac:dyDescent="0.25">
      <c r="A56" s="102">
        <v>61</v>
      </c>
      <c r="B56" s="162" t="s">
        <v>42</v>
      </c>
      <c r="C56" s="165">
        <v>191134.24</v>
      </c>
      <c r="D56" s="166">
        <v>366600</v>
      </c>
      <c r="E56" s="166">
        <v>197495</v>
      </c>
      <c r="F56" s="166">
        <v>147495</v>
      </c>
      <c r="G56" s="166">
        <v>138495</v>
      </c>
      <c r="H56" s="49"/>
    </row>
    <row r="57" spans="1:11" ht="31.5" customHeight="1" x14ac:dyDescent="0.25">
      <c r="A57" s="151">
        <v>7</v>
      </c>
      <c r="B57" s="164" t="s">
        <v>195</v>
      </c>
      <c r="C57" s="152">
        <f>C58</f>
        <v>0</v>
      </c>
      <c r="D57" s="153">
        <f t="shared" ref="D57:G59" si="16">D58</f>
        <v>1195</v>
      </c>
      <c r="E57" s="153">
        <f t="shared" si="16"/>
        <v>1181</v>
      </c>
      <c r="F57" s="153">
        <f t="shared" si="16"/>
        <v>1168</v>
      </c>
      <c r="G57" s="153">
        <f t="shared" si="16"/>
        <v>1158</v>
      </c>
      <c r="H57" s="49"/>
      <c r="I57" s="49"/>
      <c r="J57" s="49"/>
      <c r="K57" s="49"/>
    </row>
    <row r="58" spans="1:11" ht="15" customHeight="1" x14ac:dyDescent="0.25">
      <c r="A58" s="113">
        <v>71</v>
      </c>
      <c r="B58" s="162" t="s">
        <v>48</v>
      </c>
      <c r="C58" s="165">
        <v>0</v>
      </c>
      <c r="D58" s="166">
        <v>1195</v>
      </c>
      <c r="E58" s="166">
        <v>1181</v>
      </c>
      <c r="F58" s="166">
        <v>1168</v>
      </c>
      <c r="G58" s="166">
        <v>1158</v>
      </c>
      <c r="H58" s="49"/>
    </row>
    <row r="59" spans="1:11" ht="15" customHeight="1" x14ac:dyDescent="0.25">
      <c r="A59" s="156">
        <v>8</v>
      </c>
      <c r="B59" s="219" t="s">
        <v>231</v>
      </c>
      <c r="C59" s="152">
        <f>C60</f>
        <v>0</v>
      </c>
      <c r="D59" s="153">
        <f t="shared" si="16"/>
        <v>0</v>
      </c>
      <c r="E59" s="153">
        <f t="shared" si="16"/>
        <v>10876419</v>
      </c>
      <c r="F59" s="153">
        <f t="shared" si="16"/>
        <v>6794957</v>
      </c>
      <c r="G59" s="153">
        <f t="shared" si="16"/>
        <v>2414565</v>
      </c>
      <c r="H59" s="49"/>
    </row>
    <row r="60" spans="1:11" ht="15" customHeight="1" x14ac:dyDescent="0.25">
      <c r="A60" s="102">
        <v>815</v>
      </c>
      <c r="B60" s="162" t="s">
        <v>232</v>
      </c>
      <c r="C60" s="165">
        <v>0</v>
      </c>
      <c r="D60" s="166">
        <v>0</v>
      </c>
      <c r="E60" s="166">
        <v>10876419</v>
      </c>
      <c r="F60" s="166">
        <v>6794957</v>
      </c>
      <c r="G60" s="166">
        <v>2414565</v>
      </c>
      <c r="H60" s="49"/>
    </row>
    <row r="61" spans="1:11" ht="15" customHeight="1" x14ac:dyDescent="0.25">
      <c r="A61" s="109"/>
      <c r="B61" s="114"/>
      <c r="C61" s="86"/>
      <c r="D61" s="86"/>
      <c r="E61" s="86"/>
      <c r="F61" s="86"/>
      <c r="G61" s="86"/>
      <c r="H61" s="49"/>
    </row>
    <row r="62" spans="1:11" ht="15" customHeight="1" x14ac:dyDescent="0.25">
      <c r="A62" s="249" t="s">
        <v>190</v>
      </c>
      <c r="B62" s="249"/>
      <c r="C62" s="249"/>
      <c r="D62" s="249"/>
      <c r="E62" s="109"/>
      <c r="F62" s="109"/>
      <c r="G62" s="109"/>
      <c r="H62" s="49"/>
    </row>
    <row r="63" spans="1:11" ht="15" customHeight="1" x14ac:dyDescent="0.25">
      <c r="A63" s="167">
        <v>931</v>
      </c>
      <c r="B63" s="168" t="s">
        <v>184</v>
      </c>
      <c r="C63" s="168"/>
      <c r="D63" s="166">
        <v>344143</v>
      </c>
      <c r="E63" s="227">
        <v>325545</v>
      </c>
      <c r="F63" s="166">
        <v>317983</v>
      </c>
      <c r="G63" s="166">
        <v>370867</v>
      </c>
      <c r="H63" s="49"/>
    </row>
    <row r="64" spans="1:11" ht="15" customHeight="1" x14ac:dyDescent="0.25">
      <c r="A64" s="167">
        <v>943</v>
      </c>
      <c r="B64" s="168" t="s">
        <v>185</v>
      </c>
      <c r="C64" s="168"/>
      <c r="D64" s="166">
        <v>600539</v>
      </c>
      <c r="E64" s="227">
        <v>600539</v>
      </c>
      <c r="F64" s="166">
        <v>600539</v>
      </c>
      <c r="G64" s="166">
        <v>600539</v>
      </c>
      <c r="H64" s="49"/>
    </row>
    <row r="65" spans="1:8" ht="15" customHeight="1" x14ac:dyDescent="0.25">
      <c r="A65" s="167">
        <v>952</v>
      </c>
      <c r="B65" s="168" t="s">
        <v>186</v>
      </c>
      <c r="C65" s="168"/>
      <c r="D65" s="166">
        <v>27976</v>
      </c>
      <c r="E65" s="227">
        <v>150000</v>
      </c>
      <c r="F65" s="166">
        <v>174265</v>
      </c>
      <c r="G65" s="166">
        <v>127654</v>
      </c>
      <c r="H65" s="49"/>
    </row>
    <row r="66" spans="1:8" ht="15" customHeight="1" x14ac:dyDescent="0.25">
      <c r="A66" s="167">
        <v>961</v>
      </c>
      <c r="B66" s="168" t="s">
        <v>187</v>
      </c>
      <c r="C66" s="168"/>
      <c r="D66" s="166">
        <v>541268</v>
      </c>
      <c r="E66" s="227">
        <v>457037</v>
      </c>
      <c r="F66" s="166">
        <v>384206</v>
      </c>
      <c r="G66" s="166">
        <v>365572</v>
      </c>
      <c r="H66" s="49"/>
    </row>
    <row r="67" spans="1:8" ht="15" customHeight="1" x14ac:dyDescent="0.25">
      <c r="A67" s="167">
        <v>971</v>
      </c>
      <c r="B67" s="168" t="s">
        <v>188</v>
      </c>
      <c r="C67" s="168"/>
      <c r="D67" s="166">
        <v>15473</v>
      </c>
      <c r="E67" s="227">
        <v>15473</v>
      </c>
      <c r="F67" s="166">
        <v>15473</v>
      </c>
      <c r="G67" s="166">
        <v>15473</v>
      </c>
      <c r="H67" s="49"/>
    </row>
    <row r="68" spans="1:8" ht="15" customHeight="1" x14ac:dyDescent="0.25">
      <c r="A68" s="169" t="s">
        <v>191</v>
      </c>
      <c r="B68" s="170"/>
      <c r="C68" s="153">
        <f t="shared" ref="C68:G68" si="17">SUM(C63:C67)</f>
        <v>0</v>
      </c>
      <c r="D68" s="153">
        <f t="shared" si="17"/>
        <v>1529399</v>
      </c>
      <c r="E68" s="153">
        <f t="shared" si="17"/>
        <v>1548594</v>
      </c>
      <c r="F68" s="153">
        <f t="shared" si="17"/>
        <v>1492466</v>
      </c>
      <c r="G68" s="153">
        <f t="shared" si="17"/>
        <v>1480105</v>
      </c>
      <c r="H68" s="49"/>
    </row>
    <row r="69" spans="1:8" x14ac:dyDescent="0.25">
      <c r="A69" s="109"/>
      <c r="B69" s="109"/>
      <c r="C69" s="109"/>
      <c r="D69" s="109"/>
      <c r="E69" s="109"/>
      <c r="F69" s="109"/>
      <c r="G69" s="109"/>
      <c r="H69" s="49"/>
    </row>
    <row r="70" spans="1:8" x14ac:dyDescent="0.25">
      <c r="A70" s="49"/>
      <c r="B70" s="49"/>
      <c r="C70" s="49"/>
      <c r="D70" s="49"/>
      <c r="E70" s="49"/>
      <c r="F70" s="49"/>
      <c r="G70" s="49"/>
      <c r="H70" s="49"/>
    </row>
  </sheetData>
  <mergeCells count="6">
    <mergeCell ref="A29:D29"/>
    <mergeCell ref="A62:D62"/>
    <mergeCell ref="A35:B35"/>
    <mergeCell ref="B2:G2"/>
    <mergeCell ref="A4:B4"/>
    <mergeCell ref="A37:B3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5" max="1638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F7"/>
  <sheetViews>
    <sheetView zoomScale="85" zoomScaleNormal="85" workbookViewId="0">
      <selection activeCell="K30" sqref="K30"/>
    </sheetView>
  </sheetViews>
  <sheetFormatPr defaultRowHeight="15" x14ac:dyDescent="0.25"/>
  <cols>
    <col min="1" max="1" width="37.7109375" customWidth="1"/>
    <col min="2" max="4" width="25.28515625" customWidth="1"/>
    <col min="5" max="5" width="18.140625" customWidth="1"/>
    <col min="6" max="6" width="19.42578125" customWidth="1"/>
  </cols>
  <sheetData>
    <row r="1" spans="1:6" ht="18" x14ac:dyDescent="0.25">
      <c r="A1" s="25"/>
      <c r="B1" s="25"/>
      <c r="C1" s="4"/>
      <c r="D1" s="4"/>
    </row>
    <row r="2" spans="1:6" ht="15.75" customHeight="1" x14ac:dyDescent="0.25">
      <c r="A2" s="237" t="s">
        <v>113</v>
      </c>
      <c r="B2" s="237"/>
      <c r="C2" s="237"/>
      <c r="D2" s="237"/>
      <c r="E2" s="237"/>
      <c r="F2" s="237"/>
    </row>
    <row r="3" spans="1:6" ht="18" x14ac:dyDescent="0.25">
      <c r="A3" s="25"/>
      <c r="B3" s="25"/>
      <c r="C3" s="4"/>
      <c r="D3" s="4"/>
    </row>
    <row r="4" spans="1:6" ht="25.5" x14ac:dyDescent="0.25">
      <c r="A4" s="22" t="s">
        <v>15</v>
      </c>
      <c r="B4" s="22" t="s">
        <v>108</v>
      </c>
      <c r="C4" s="22" t="s">
        <v>109</v>
      </c>
      <c r="D4" s="22" t="s">
        <v>110</v>
      </c>
      <c r="E4" s="22" t="s">
        <v>111</v>
      </c>
      <c r="F4" s="22" t="s">
        <v>112</v>
      </c>
    </row>
    <row r="5" spans="1:6" ht="15.75" customHeight="1" x14ac:dyDescent="0.25">
      <c r="A5" s="11" t="s">
        <v>106</v>
      </c>
      <c r="B5" s="92">
        <f>B6</f>
        <v>224161690.44</v>
      </c>
      <c r="C5" s="8">
        <f t="shared" ref="C5:F6" si="0">C6</f>
        <v>275301134</v>
      </c>
      <c r="D5" s="8">
        <f t="shared" si="0"/>
        <v>284001343</v>
      </c>
      <c r="E5" s="8">
        <f t="shared" si="0"/>
        <v>283785777</v>
      </c>
      <c r="F5" s="8">
        <f t="shared" si="0"/>
        <v>302243483</v>
      </c>
    </row>
    <row r="6" spans="1:6" ht="15.75" customHeight="1" x14ac:dyDescent="0.25">
      <c r="A6" s="11" t="s">
        <v>63</v>
      </c>
      <c r="B6" s="115">
        <f>B7</f>
        <v>224161690.44</v>
      </c>
      <c r="C6" s="116">
        <f t="shared" si="0"/>
        <v>275301134</v>
      </c>
      <c r="D6" s="116">
        <f t="shared" si="0"/>
        <v>284001343</v>
      </c>
      <c r="E6" s="116">
        <f t="shared" si="0"/>
        <v>283785777</v>
      </c>
      <c r="F6" s="116">
        <f t="shared" si="0"/>
        <v>302243483</v>
      </c>
    </row>
    <row r="7" spans="1:6" x14ac:dyDescent="0.25">
      <c r="A7" s="17" t="s">
        <v>64</v>
      </c>
      <c r="B7" s="107">
        <v>224161690.44</v>
      </c>
      <c r="C7" s="42">
        <v>275301134</v>
      </c>
      <c r="D7" s="42">
        <v>284001343</v>
      </c>
      <c r="E7" s="42">
        <v>283785777</v>
      </c>
      <c r="F7" s="42">
        <v>302243483</v>
      </c>
    </row>
  </sheetData>
  <mergeCells count="1">
    <mergeCell ref="A2:F2"/>
  </mergeCells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19" sqref="D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6.85546875" customWidth="1"/>
    <col min="4" max="8" width="25.7109375" customWidth="1"/>
  </cols>
  <sheetData>
    <row r="1" spans="1:8" ht="18" customHeight="1" x14ac:dyDescent="0.25">
      <c r="A1" s="25"/>
      <c r="B1" s="25"/>
      <c r="C1" s="25"/>
      <c r="D1" s="25"/>
      <c r="E1" s="25"/>
      <c r="F1" s="25"/>
    </row>
    <row r="2" spans="1:8" ht="15.75" customHeight="1" x14ac:dyDescent="0.25">
      <c r="A2" s="237" t="s">
        <v>215</v>
      </c>
      <c r="B2" s="237"/>
      <c r="C2" s="237"/>
      <c r="D2" s="237"/>
      <c r="E2" s="237"/>
      <c r="F2" s="237"/>
      <c r="G2" s="237"/>
      <c r="H2" s="237"/>
    </row>
    <row r="3" spans="1:8" ht="18" customHeight="1" x14ac:dyDescent="0.25">
      <c r="A3" s="25"/>
      <c r="B3" s="25"/>
      <c r="C3" s="25"/>
      <c r="D3" s="25"/>
      <c r="E3" s="4"/>
      <c r="F3" s="4"/>
    </row>
    <row r="4" spans="1:8" ht="18" customHeight="1" x14ac:dyDescent="0.25">
      <c r="A4" s="237" t="s">
        <v>16</v>
      </c>
      <c r="B4" s="237"/>
      <c r="C4" s="237"/>
      <c r="D4" s="237"/>
      <c r="E4" s="237"/>
      <c r="F4" s="237"/>
      <c r="G4" s="237"/>
      <c r="H4" s="237"/>
    </row>
    <row r="5" spans="1:8" ht="18" customHeight="1" x14ac:dyDescent="0.25">
      <c r="A5" s="74"/>
      <c r="B5" s="76"/>
      <c r="C5" s="76"/>
      <c r="D5" s="76"/>
      <c r="E5" s="76"/>
      <c r="F5" s="76"/>
    </row>
    <row r="6" spans="1:8" ht="18" customHeight="1" x14ac:dyDescent="0.25">
      <c r="A6" s="237" t="s">
        <v>251</v>
      </c>
      <c r="B6" s="237"/>
      <c r="C6" s="237"/>
      <c r="D6" s="237"/>
      <c r="E6" s="237"/>
      <c r="F6" s="237"/>
      <c r="G6" s="237"/>
      <c r="H6" s="237"/>
    </row>
    <row r="7" spans="1:8" ht="18" x14ac:dyDescent="0.25">
      <c r="A7" s="25"/>
      <c r="B7" s="25"/>
      <c r="C7" s="25"/>
      <c r="D7" s="25"/>
      <c r="E7" s="4"/>
      <c r="F7" s="4"/>
    </row>
    <row r="8" spans="1:8" ht="25.5" x14ac:dyDescent="0.25">
      <c r="A8" s="22" t="s">
        <v>7</v>
      </c>
      <c r="B8" s="21" t="s">
        <v>8</v>
      </c>
      <c r="C8" s="21" t="s">
        <v>20</v>
      </c>
      <c r="D8" s="22" t="s">
        <v>108</v>
      </c>
      <c r="E8" s="22" t="s">
        <v>109</v>
      </c>
      <c r="F8" s="22" t="s">
        <v>110</v>
      </c>
      <c r="G8" s="22" t="s">
        <v>111</v>
      </c>
      <c r="H8" s="22" t="s">
        <v>112</v>
      </c>
    </row>
    <row r="9" spans="1:8" ht="15" customHeight="1" x14ac:dyDescent="0.25">
      <c r="A9" s="11">
        <v>8</v>
      </c>
      <c r="B9" s="11"/>
      <c r="C9" s="11" t="s">
        <v>17</v>
      </c>
      <c r="D9" s="9">
        <v>0</v>
      </c>
      <c r="E9" s="9">
        <v>0</v>
      </c>
      <c r="F9" s="9">
        <v>0</v>
      </c>
      <c r="G9" s="81">
        <v>0</v>
      </c>
      <c r="H9" s="81">
        <v>0</v>
      </c>
    </row>
    <row r="10" spans="1:8" ht="15" customHeight="1" x14ac:dyDescent="0.25">
      <c r="A10" s="11"/>
      <c r="B10" s="15">
        <v>84</v>
      </c>
      <c r="C10" s="15" t="s">
        <v>22</v>
      </c>
      <c r="D10" s="9">
        <v>0</v>
      </c>
      <c r="E10" s="9">
        <v>0</v>
      </c>
      <c r="F10" s="9">
        <v>0</v>
      </c>
      <c r="G10" s="81">
        <v>0</v>
      </c>
      <c r="H10" s="81">
        <v>0</v>
      </c>
    </row>
    <row r="11" spans="1:8" ht="15" customHeight="1" x14ac:dyDescent="0.25">
      <c r="A11" s="12" t="s">
        <v>27</v>
      </c>
      <c r="B11" s="12"/>
      <c r="C11" s="17"/>
      <c r="D11" s="9">
        <v>0</v>
      </c>
      <c r="E11" s="9">
        <v>0</v>
      </c>
      <c r="F11" s="9">
        <v>0</v>
      </c>
      <c r="G11" s="81">
        <v>0</v>
      </c>
      <c r="H11" s="81">
        <v>0</v>
      </c>
    </row>
    <row r="12" spans="1:8" ht="15" customHeight="1" x14ac:dyDescent="0.25">
      <c r="A12" s="13">
        <v>5</v>
      </c>
      <c r="B12" s="14"/>
      <c r="C12" s="26" t="s">
        <v>18</v>
      </c>
      <c r="D12" s="9">
        <v>0</v>
      </c>
      <c r="E12" s="9">
        <v>0</v>
      </c>
      <c r="F12" s="9">
        <v>0</v>
      </c>
      <c r="G12" s="81">
        <v>0</v>
      </c>
      <c r="H12" s="81">
        <v>0</v>
      </c>
    </row>
    <row r="13" spans="1:8" ht="15" customHeight="1" x14ac:dyDescent="0.25">
      <c r="A13" s="15"/>
      <c r="B13" s="15">
        <v>54</v>
      </c>
      <c r="C13" s="27" t="s">
        <v>23</v>
      </c>
      <c r="D13" s="9">
        <v>0</v>
      </c>
      <c r="E13" s="9">
        <v>0</v>
      </c>
      <c r="F13" s="10">
        <v>0</v>
      </c>
      <c r="G13" s="81">
        <v>0</v>
      </c>
      <c r="H13" s="81">
        <v>0</v>
      </c>
    </row>
    <row r="14" spans="1:8" ht="15" customHeight="1" x14ac:dyDescent="0.25">
      <c r="A14" s="16" t="s">
        <v>27</v>
      </c>
      <c r="B14" s="14"/>
      <c r="C14" s="26"/>
      <c r="D14" s="9">
        <v>0</v>
      </c>
      <c r="E14" s="9">
        <v>0</v>
      </c>
      <c r="F14" s="9">
        <v>0</v>
      </c>
      <c r="G14" s="81">
        <v>0</v>
      </c>
      <c r="H14" s="81">
        <v>0</v>
      </c>
    </row>
  </sheetData>
  <mergeCells count="3">
    <mergeCell ref="A2:H2"/>
    <mergeCell ref="A4:H4"/>
    <mergeCell ref="A6:H6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F26"/>
  <sheetViews>
    <sheetView workbookViewId="0">
      <selection activeCell="F30" sqref="F30"/>
    </sheetView>
  </sheetViews>
  <sheetFormatPr defaultRowHeight="15" x14ac:dyDescent="0.25"/>
  <cols>
    <col min="1" max="1" width="44.5703125" customWidth="1"/>
    <col min="2" max="6" width="23.7109375" customWidth="1"/>
  </cols>
  <sheetData>
    <row r="1" spans="1:6" ht="18" customHeight="1" x14ac:dyDescent="0.25">
      <c r="A1" s="76"/>
      <c r="B1" s="76"/>
      <c r="C1" s="76"/>
      <c r="D1" s="76"/>
    </row>
    <row r="2" spans="1:6" ht="18" customHeight="1" x14ac:dyDescent="0.25">
      <c r="A2" s="237" t="s">
        <v>115</v>
      </c>
      <c r="B2" s="237"/>
      <c r="C2" s="237"/>
      <c r="D2" s="237"/>
      <c r="E2" s="237"/>
      <c r="F2" s="237"/>
    </row>
    <row r="3" spans="1:6" ht="18" x14ac:dyDescent="0.25">
      <c r="A3" s="3"/>
      <c r="B3" s="3"/>
      <c r="C3" s="4"/>
      <c r="D3" s="4"/>
    </row>
    <row r="4" spans="1:6" ht="25.5" x14ac:dyDescent="0.25">
      <c r="A4" s="22" t="s">
        <v>20</v>
      </c>
      <c r="B4" s="22" t="s">
        <v>108</v>
      </c>
      <c r="C4" s="22" t="s">
        <v>109</v>
      </c>
      <c r="D4" s="22" t="s">
        <v>110</v>
      </c>
      <c r="E4" s="22" t="s">
        <v>111</v>
      </c>
      <c r="F4" s="22" t="s">
        <v>112</v>
      </c>
    </row>
    <row r="5" spans="1:6" x14ac:dyDescent="0.25">
      <c r="A5" s="11" t="s">
        <v>114</v>
      </c>
      <c r="B5" s="9"/>
      <c r="C5" s="9"/>
      <c r="D5" s="9"/>
      <c r="E5" s="81"/>
      <c r="F5" s="81"/>
    </row>
    <row r="6" spans="1:6" x14ac:dyDescent="0.25">
      <c r="A6" s="11" t="s">
        <v>32</v>
      </c>
      <c r="B6" s="44">
        <f>B7+B8</f>
        <v>0</v>
      </c>
      <c r="C6" s="44">
        <f>C7+C8</f>
        <v>0</v>
      </c>
      <c r="D6" s="44">
        <f>D7+D8</f>
        <v>0</v>
      </c>
      <c r="E6" s="44">
        <f>E7+E8</f>
        <v>0</v>
      </c>
      <c r="F6" s="44">
        <f>F7+F8</f>
        <v>0</v>
      </c>
    </row>
    <row r="7" spans="1:6" x14ac:dyDescent="0.25">
      <c r="A7" s="37" t="s">
        <v>33</v>
      </c>
      <c r="B7" s="9">
        <v>0</v>
      </c>
      <c r="C7" s="9">
        <v>0</v>
      </c>
      <c r="D7" s="9">
        <v>0</v>
      </c>
      <c r="E7" s="9">
        <v>0</v>
      </c>
      <c r="F7" s="9">
        <v>0</v>
      </c>
    </row>
    <row r="8" spans="1:6" x14ac:dyDescent="0.25">
      <c r="A8" s="38" t="s">
        <v>34</v>
      </c>
      <c r="B8" s="9">
        <v>0</v>
      </c>
      <c r="C8" s="9">
        <v>0</v>
      </c>
      <c r="D8" s="9">
        <v>0</v>
      </c>
      <c r="E8" s="9">
        <v>0</v>
      </c>
      <c r="F8" s="9">
        <v>0</v>
      </c>
    </row>
    <row r="9" spans="1:6" x14ac:dyDescent="0.25">
      <c r="A9" s="11" t="s">
        <v>35</v>
      </c>
      <c r="B9" s="44">
        <f>B10</f>
        <v>0</v>
      </c>
      <c r="C9" s="44">
        <f>C10</f>
        <v>0</v>
      </c>
      <c r="D9" s="44">
        <f>D10</f>
        <v>0</v>
      </c>
      <c r="E9" s="44">
        <f>E10</f>
        <v>0</v>
      </c>
      <c r="F9" s="44">
        <f>F10</f>
        <v>0</v>
      </c>
    </row>
    <row r="10" spans="1:6" x14ac:dyDescent="0.25">
      <c r="A10" s="39" t="s">
        <v>36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</row>
    <row r="11" spans="1:6" x14ac:dyDescent="0.25">
      <c r="A11" s="11" t="s">
        <v>59</v>
      </c>
      <c r="B11" s="44">
        <f>B12</f>
        <v>0</v>
      </c>
      <c r="C11" s="44">
        <f>C12</f>
        <v>0</v>
      </c>
      <c r="D11" s="44">
        <f>D12</f>
        <v>0</v>
      </c>
      <c r="E11" s="44">
        <f>E12</f>
        <v>0</v>
      </c>
      <c r="F11" s="44">
        <f>F12</f>
        <v>0</v>
      </c>
    </row>
    <row r="12" spans="1:6" x14ac:dyDescent="0.25">
      <c r="A12" s="39" t="s">
        <v>50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</row>
    <row r="13" spans="1:6" x14ac:dyDescent="0.25">
      <c r="A13" s="40" t="s">
        <v>60</v>
      </c>
      <c r="B13" s="44">
        <f>B14+B15+B16+B17+B18+B19+B20+B21+B22</f>
        <v>0</v>
      </c>
      <c r="C13" s="44">
        <f>C14+C15+C16+C17+C18+C19+C20+C21+C22</f>
        <v>0</v>
      </c>
      <c r="D13" s="44">
        <f>D14+D15+D16+D17+D18+D19+D20+D21+D22</f>
        <v>0</v>
      </c>
      <c r="E13" s="44">
        <f>E14+E15+E16+E17+E18+E19+E20+E21+E22</f>
        <v>0</v>
      </c>
      <c r="F13" s="44">
        <f>F14+F15+F16+F17+F18+F19+F20+F21+F22</f>
        <v>0</v>
      </c>
    </row>
    <row r="14" spans="1:6" x14ac:dyDescent="0.25">
      <c r="A14" s="39" t="s">
        <v>51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</row>
    <row r="15" spans="1:6" x14ac:dyDescent="0.25">
      <c r="A15" s="39" t="s">
        <v>52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</row>
    <row r="16" spans="1:6" x14ac:dyDescent="0.25">
      <c r="A16" s="39" t="s">
        <v>81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</row>
    <row r="17" spans="1:6" x14ac:dyDescent="0.25">
      <c r="A17" s="39" t="s">
        <v>53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</row>
    <row r="18" spans="1:6" ht="25.5" x14ac:dyDescent="0.25">
      <c r="A18" s="39" t="s">
        <v>54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</row>
    <row r="19" spans="1:6" ht="25.5" x14ac:dyDescent="0.25">
      <c r="A19" s="39" t="s">
        <v>55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</row>
    <row r="20" spans="1:6" ht="25.5" x14ac:dyDescent="0.25">
      <c r="A20" s="39" t="s">
        <v>83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</row>
    <row r="21" spans="1:6" ht="25.5" x14ac:dyDescent="0.25">
      <c r="A21" s="39" t="s">
        <v>118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</row>
    <row r="22" spans="1:6" x14ac:dyDescent="0.25">
      <c r="A22" s="39" t="s">
        <v>56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</row>
    <row r="23" spans="1:6" x14ac:dyDescent="0.25">
      <c r="A23" s="40" t="s">
        <v>61</v>
      </c>
      <c r="B23" s="80">
        <f>B24</f>
        <v>0</v>
      </c>
      <c r="C23" s="80">
        <f>C24</f>
        <v>0</v>
      </c>
      <c r="D23" s="80">
        <f>D24</f>
        <v>0</v>
      </c>
      <c r="E23" s="80">
        <f>E24</f>
        <v>0</v>
      </c>
      <c r="F23" s="80">
        <f>F24</f>
        <v>0</v>
      </c>
    </row>
    <row r="24" spans="1:6" x14ac:dyDescent="0.25">
      <c r="A24" s="39" t="s">
        <v>57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</row>
    <row r="25" spans="1:6" ht="32.25" customHeight="1" x14ac:dyDescent="0.25">
      <c r="A25" s="41" t="s">
        <v>62</v>
      </c>
      <c r="B25" s="80">
        <f>B26</f>
        <v>0</v>
      </c>
      <c r="C25" s="80">
        <f>C26</f>
        <v>0</v>
      </c>
      <c r="D25" s="80">
        <f>D26</f>
        <v>0</v>
      </c>
      <c r="E25" s="80">
        <f>E26</f>
        <v>0</v>
      </c>
      <c r="F25" s="80">
        <f>F26</f>
        <v>0</v>
      </c>
    </row>
    <row r="26" spans="1:6" x14ac:dyDescent="0.25">
      <c r="A26" s="39" t="s">
        <v>58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</row>
  </sheetData>
  <mergeCells count="1">
    <mergeCell ref="A2:F2"/>
  </mergeCells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V142"/>
  <sheetViews>
    <sheetView zoomScaleNormal="100" workbookViewId="0">
      <pane ySplit="4" topLeftCell="A5" activePane="bottomLeft" state="frozen"/>
      <selection activeCell="K45" sqref="K45"/>
      <selection pane="bottomLeft" activeCell="A2" sqref="A2:I2"/>
    </sheetView>
  </sheetViews>
  <sheetFormatPr defaultRowHeight="15" x14ac:dyDescent="0.25"/>
  <cols>
    <col min="1" max="1" width="7.42578125" bestFit="1" customWidth="1"/>
    <col min="2" max="2" width="12.42578125" customWidth="1"/>
    <col min="3" max="3" width="3.7109375" hidden="1" customWidth="1"/>
    <col min="4" max="4" width="36.140625" bestFit="1" customWidth="1"/>
    <col min="5" max="5" width="17.140625" customWidth="1"/>
    <col min="6" max="6" width="18.140625" customWidth="1"/>
    <col min="7" max="7" width="16.85546875" customWidth="1"/>
    <col min="8" max="8" width="15.28515625" customWidth="1"/>
    <col min="9" max="9" width="16.42578125" customWidth="1"/>
    <col min="10" max="10" width="12.7109375" customWidth="1"/>
    <col min="11" max="11" width="8.85546875" customWidth="1"/>
    <col min="12" max="12" width="7.7109375" customWidth="1"/>
    <col min="13" max="13" width="33.140625" customWidth="1"/>
    <col min="14" max="14" width="15.28515625" customWidth="1"/>
    <col min="15" max="15" width="14.85546875" bestFit="1" customWidth="1"/>
    <col min="20" max="22" width="12" bestFit="1" customWidth="1"/>
  </cols>
  <sheetData>
    <row r="1" spans="1:22" ht="18" x14ac:dyDescent="0.25">
      <c r="A1" s="3"/>
      <c r="B1" s="3"/>
      <c r="C1" s="3"/>
      <c r="D1" s="3"/>
      <c r="E1" s="25"/>
      <c r="F1" s="25"/>
      <c r="G1" s="3"/>
      <c r="H1" s="4"/>
      <c r="I1" s="4"/>
    </row>
    <row r="2" spans="1:22" ht="18" customHeight="1" x14ac:dyDescent="0.25">
      <c r="A2" s="237" t="s">
        <v>252</v>
      </c>
      <c r="B2" s="261"/>
      <c r="C2" s="261"/>
      <c r="D2" s="261"/>
      <c r="E2" s="261"/>
      <c r="F2" s="261"/>
      <c r="G2" s="261"/>
      <c r="H2" s="261"/>
      <c r="I2" s="261"/>
    </row>
    <row r="3" spans="1:22" ht="18" customHeight="1" x14ac:dyDescent="0.25">
      <c r="A3" s="96"/>
      <c r="B3" s="97"/>
      <c r="C3" s="97"/>
      <c r="D3" s="97"/>
      <c r="E3" s="97"/>
      <c r="F3" s="97"/>
      <c r="G3" s="97"/>
      <c r="H3" s="97"/>
      <c r="I3" s="97"/>
    </row>
    <row r="4" spans="1:22" s="47" customFormat="1" ht="25.5" x14ac:dyDescent="0.25">
      <c r="A4" s="267" t="s">
        <v>19</v>
      </c>
      <c r="B4" s="268"/>
      <c r="C4" s="147"/>
      <c r="D4" s="148" t="s">
        <v>20</v>
      </c>
      <c r="E4" s="148" t="s">
        <v>108</v>
      </c>
      <c r="F4" s="148" t="s">
        <v>109</v>
      </c>
      <c r="G4" s="148" t="s">
        <v>110</v>
      </c>
      <c r="H4" s="148" t="s">
        <v>111</v>
      </c>
      <c r="I4" s="149" t="s">
        <v>112</v>
      </c>
    </row>
    <row r="5" spans="1:22" x14ac:dyDescent="0.25">
      <c r="A5" s="263" t="s">
        <v>93</v>
      </c>
      <c r="B5" s="263"/>
      <c r="C5" s="263"/>
      <c r="D5" s="129" t="s">
        <v>84</v>
      </c>
      <c r="E5" s="129"/>
      <c r="F5" s="129"/>
      <c r="G5" s="130"/>
      <c r="H5" s="130"/>
      <c r="I5" s="146"/>
      <c r="M5" s="47"/>
      <c r="N5" s="125"/>
      <c r="O5" s="125"/>
    </row>
    <row r="6" spans="1:22" ht="25.5" x14ac:dyDescent="0.25">
      <c r="A6" s="264">
        <v>9620</v>
      </c>
      <c r="B6" s="264"/>
      <c r="C6" s="264"/>
      <c r="D6" s="61" t="s">
        <v>94</v>
      </c>
      <c r="E6" s="131"/>
      <c r="F6" s="131"/>
      <c r="G6" s="9"/>
      <c r="H6" s="9"/>
      <c r="I6" s="138"/>
      <c r="M6" s="47"/>
      <c r="N6" s="125"/>
      <c r="O6" s="125"/>
    </row>
    <row r="7" spans="1:22" s="57" customFormat="1" ht="25.5" x14ac:dyDescent="0.25">
      <c r="A7" s="265">
        <v>26395</v>
      </c>
      <c r="B7" s="266"/>
      <c r="C7" s="266"/>
      <c r="D7" s="62" t="s">
        <v>95</v>
      </c>
      <c r="E7" s="132">
        <f>E9+E92</f>
        <v>224161690.40000007</v>
      </c>
      <c r="F7" s="186">
        <f>F9+F92</f>
        <v>275301134</v>
      </c>
      <c r="G7" s="56">
        <f>G9+G92</f>
        <v>284001343</v>
      </c>
      <c r="H7" s="56">
        <f>H9+H92</f>
        <v>283785777</v>
      </c>
      <c r="I7" s="139">
        <f>I9+I92</f>
        <v>302243483</v>
      </c>
      <c r="M7" s="58"/>
      <c r="N7" s="125"/>
      <c r="O7" s="125"/>
      <c r="P7"/>
      <c r="Q7"/>
    </row>
    <row r="8" spans="1:22" ht="18" customHeight="1" x14ac:dyDescent="0.25">
      <c r="A8" s="262">
        <v>36</v>
      </c>
      <c r="B8" s="262"/>
      <c r="C8" s="262"/>
      <c r="D8" s="63" t="s">
        <v>92</v>
      </c>
      <c r="E8" s="93"/>
      <c r="F8" s="84"/>
      <c r="G8" s="70"/>
      <c r="H8" s="70"/>
      <c r="I8" s="140"/>
      <c r="M8" s="47"/>
      <c r="N8" s="125"/>
      <c r="O8" s="125"/>
    </row>
    <row r="9" spans="1:22" s="57" customFormat="1" ht="31.5" customHeight="1" x14ac:dyDescent="0.25">
      <c r="A9" s="260" t="s">
        <v>88</v>
      </c>
      <c r="B9" s="260"/>
      <c r="C9" s="260"/>
      <c r="D9" s="46" t="s">
        <v>89</v>
      </c>
      <c r="E9" s="50">
        <f>E10+E38+E53+E79</f>
        <v>6234321.7399999984</v>
      </c>
      <c r="F9" s="187">
        <f>F10+F38+F53+F79</f>
        <v>48024178</v>
      </c>
      <c r="G9" s="59">
        <f>G10+G38+G53+G79</f>
        <v>33329300</v>
      </c>
      <c r="H9" s="59">
        <f>H10+H38+H53+H79</f>
        <v>13481585</v>
      </c>
      <c r="I9" s="141">
        <f>I10+I38+I53+I79</f>
        <v>10404729</v>
      </c>
      <c r="L9" s="126"/>
      <c r="M9" s="127"/>
      <c r="N9" s="125"/>
      <c r="O9" s="125"/>
      <c r="P9"/>
      <c r="Q9"/>
    </row>
    <row r="10" spans="1:22" s="57" customFormat="1" ht="44.25" customHeight="1" x14ac:dyDescent="0.25">
      <c r="A10" s="259" t="s">
        <v>70</v>
      </c>
      <c r="B10" s="259"/>
      <c r="C10" s="259"/>
      <c r="D10" s="64" t="s">
        <v>66</v>
      </c>
      <c r="E10" s="133">
        <f>E11+E16+E20+E23+E27+E31+E35</f>
        <v>5824359.1799999988</v>
      </c>
      <c r="F10" s="188">
        <f>F11+F16+F20+F23+F27+F31+F35</f>
        <v>25354506</v>
      </c>
      <c r="G10" s="60">
        <f>G11+G16+G20+G23+G27+G31+G35</f>
        <v>10452881</v>
      </c>
      <c r="H10" s="60">
        <f>H11+H16+H20+H23+H27+H31+H35</f>
        <v>6686628</v>
      </c>
      <c r="I10" s="142">
        <f>I11+I16+I20+I23+I27+I31+I35</f>
        <v>7990164</v>
      </c>
      <c r="L10" s="121"/>
      <c r="M10" s="122"/>
      <c r="N10" s="125"/>
      <c r="O10" s="125"/>
      <c r="P10"/>
      <c r="Q10"/>
      <c r="T10" s="98"/>
      <c r="U10" s="98"/>
      <c r="V10" s="98"/>
    </row>
    <row r="11" spans="1:22" ht="15" customHeight="1" x14ac:dyDescent="0.25">
      <c r="A11" s="255">
        <v>11</v>
      </c>
      <c r="B11" s="255"/>
      <c r="C11" s="255"/>
      <c r="D11" s="65" t="s">
        <v>10</v>
      </c>
      <c r="E11" s="134">
        <f t="shared" ref="E11:I11" si="0">E12</f>
        <v>4648660.84</v>
      </c>
      <c r="F11" s="189">
        <f t="shared" si="0"/>
        <v>5308911</v>
      </c>
      <c r="G11" s="71">
        <f t="shared" si="0"/>
        <v>5285760</v>
      </c>
      <c r="H11" s="71">
        <f t="shared" si="0"/>
        <v>5285760</v>
      </c>
      <c r="I11" s="143">
        <f t="shared" si="0"/>
        <v>6598306</v>
      </c>
      <c r="L11" s="123"/>
      <c r="M11" s="124"/>
      <c r="N11" s="125"/>
      <c r="O11" s="125"/>
      <c r="T11" s="43"/>
      <c r="U11" s="43"/>
      <c r="V11" s="43"/>
    </row>
    <row r="12" spans="1:22" ht="15" customHeight="1" x14ac:dyDescent="0.25">
      <c r="A12" s="256">
        <v>4</v>
      </c>
      <c r="B12" s="256"/>
      <c r="C12" s="256"/>
      <c r="D12" s="66" t="s">
        <v>13</v>
      </c>
      <c r="E12" s="135">
        <f t="shared" ref="E12:I12" si="1">E13+E14+E15</f>
        <v>4648660.84</v>
      </c>
      <c r="F12" s="190">
        <f t="shared" si="1"/>
        <v>5308911</v>
      </c>
      <c r="G12" s="72">
        <f t="shared" si="1"/>
        <v>5285760</v>
      </c>
      <c r="H12" s="72">
        <f t="shared" si="1"/>
        <v>5285760</v>
      </c>
      <c r="I12" s="144">
        <f t="shared" si="1"/>
        <v>6598306</v>
      </c>
      <c r="L12" s="123"/>
      <c r="M12" s="125"/>
      <c r="N12" s="125"/>
      <c r="O12" s="125"/>
    </row>
    <row r="13" spans="1:22" ht="27.95" customHeight="1" x14ac:dyDescent="0.25">
      <c r="A13" s="254">
        <v>41</v>
      </c>
      <c r="B13" s="254"/>
      <c r="C13" s="254"/>
      <c r="D13" s="67" t="s">
        <v>14</v>
      </c>
      <c r="E13" s="136">
        <v>79633.679999999993</v>
      </c>
      <c r="F13" s="191">
        <v>132723</v>
      </c>
      <c r="G13" s="73">
        <v>0</v>
      </c>
      <c r="H13" s="73">
        <v>0</v>
      </c>
      <c r="I13" s="145">
        <v>0</v>
      </c>
      <c r="L13" s="128"/>
      <c r="M13" s="125"/>
      <c r="N13" s="125"/>
      <c r="O13" s="125"/>
    </row>
    <row r="14" spans="1:22" ht="27.95" customHeight="1" x14ac:dyDescent="0.25">
      <c r="A14" s="254">
        <v>42</v>
      </c>
      <c r="B14" s="254"/>
      <c r="C14" s="254"/>
      <c r="D14" s="67" t="s">
        <v>47</v>
      </c>
      <c r="E14" s="136">
        <v>4005608.46</v>
      </c>
      <c r="F14" s="191">
        <v>4054202</v>
      </c>
      <c r="G14" s="73">
        <v>4720323</v>
      </c>
      <c r="H14" s="73">
        <v>5185760</v>
      </c>
      <c r="I14" s="145">
        <v>6548306</v>
      </c>
      <c r="L14" s="128"/>
      <c r="M14" s="125"/>
      <c r="N14" s="125"/>
      <c r="O14" s="125"/>
    </row>
    <row r="15" spans="1:22" ht="27.95" customHeight="1" x14ac:dyDescent="0.25">
      <c r="A15" s="254">
        <v>45</v>
      </c>
      <c r="B15" s="254"/>
      <c r="C15" s="254"/>
      <c r="D15" s="67" t="s">
        <v>49</v>
      </c>
      <c r="E15" s="136">
        <v>563418.69999999995</v>
      </c>
      <c r="F15" s="191">
        <v>1121986</v>
      </c>
      <c r="G15" s="73">
        <v>565437</v>
      </c>
      <c r="H15" s="73">
        <v>100000</v>
      </c>
      <c r="I15" s="145">
        <v>50000</v>
      </c>
      <c r="L15" s="128"/>
      <c r="M15" s="125"/>
      <c r="N15" s="125"/>
      <c r="O15" s="125"/>
    </row>
    <row r="16" spans="1:22" ht="15" customHeight="1" x14ac:dyDescent="0.25">
      <c r="A16" s="255">
        <v>31</v>
      </c>
      <c r="B16" s="255"/>
      <c r="C16" s="255"/>
      <c r="D16" s="65" t="s">
        <v>24</v>
      </c>
      <c r="E16" s="134">
        <f t="shared" ref="E16:I16" si="2">E17</f>
        <v>688697.59</v>
      </c>
      <c r="F16" s="189">
        <f t="shared" si="2"/>
        <v>1984480</v>
      </c>
      <c r="G16" s="71">
        <f t="shared" si="2"/>
        <v>1383901</v>
      </c>
      <c r="H16" s="71">
        <f t="shared" si="2"/>
        <v>1383900</v>
      </c>
      <c r="I16" s="143">
        <f t="shared" si="2"/>
        <v>1383900</v>
      </c>
      <c r="L16" s="128"/>
      <c r="M16" s="125"/>
      <c r="N16" s="125"/>
      <c r="O16" s="125"/>
    </row>
    <row r="17" spans="1:15" ht="15" customHeight="1" x14ac:dyDescent="0.25">
      <c r="A17" s="256">
        <v>4</v>
      </c>
      <c r="B17" s="256"/>
      <c r="C17" s="256"/>
      <c r="D17" s="66" t="s">
        <v>13</v>
      </c>
      <c r="E17" s="135">
        <f t="shared" ref="E17:I17" si="3">E18+E19</f>
        <v>688697.59</v>
      </c>
      <c r="F17" s="190">
        <f t="shared" si="3"/>
        <v>1984480</v>
      </c>
      <c r="G17" s="72">
        <f t="shared" si="3"/>
        <v>1383901</v>
      </c>
      <c r="H17" s="72">
        <f t="shared" si="3"/>
        <v>1383900</v>
      </c>
      <c r="I17" s="144">
        <f t="shared" si="3"/>
        <v>1383900</v>
      </c>
      <c r="L17" s="128"/>
      <c r="M17" s="125"/>
      <c r="N17" s="125"/>
      <c r="O17" s="125"/>
    </row>
    <row r="18" spans="1:15" ht="27.95" customHeight="1" x14ac:dyDescent="0.25">
      <c r="A18" s="254">
        <v>42</v>
      </c>
      <c r="B18" s="254"/>
      <c r="C18" s="254"/>
      <c r="D18" s="67" t="s">
        <v>47</v>
      </c>
      <c r="E18" s="136">
        <v>438463.37</v>
      </c>
      <c r="F18" s="191">
        <v>1721975</v>
      </c>
      <c r="G18" s="73">
        <v>1276396</v>
      </c>
      <c r="H18" s="73">
        <v>1276395</v>
      </c>
      <c r="I18" s="145">
        <v>1276395</v>
      </c>
      <c r="L18" s="128"/>
      <c r="M18" s="125"/>
      <c r="N18" s="125"/>
      <c r="O18" s="125"/>
    </row>
    <row r="19" spans="1:15" ht="27.95" customHeight="1" x14ac:dyDescent="0.25">
      <c r="A19" s="254">
        <v>45</v>
      </c>
      <c r="B19" s="254"/>
      <c r="C19" s="254"/>
      <c r="D19" s="67" t="s">
        <v>49</v>
      </c>
      <c r="E19" s="136">
        <v>250234.22</v>
      </c>
      <c r="F19" s="191">
        <v>262505</v>
      </c>
      <c r="G19" s="73">
        <v>107505</v>
      </c>
      <c r="H19" s="73">
        <v>107505</v>
      </c>
      <c r="I19" s="145">
        <v>107505</v>
      </c>
      <c r="L19" s="128"/>
      <c r="M19" s="125"/>
      <c r="N19" s="125"/>
      <c r="O19" s="125"/>
    </row>
    <row r="20" spans="1:15" x14ac:dyDescent="0.25">
      <c r="A20" s="255">
        <v>43</v>
      </c>
      <c r="B20" s="255"/>
      <c r="C20" s="255"/>
      <c r="D20" s="65" t="s">
        <v>29</v>
      </c>
      <c r="E20" s="134">
        <f t="shared" ref="E20:I21" si="4">E21</f>
        <v>34661.35</v>
      </c>
      <c r="F20" s="189">
        <f t="shared" si="4"/>
        <v>0</v>
      </c>
      <c r="G20" s="71">
        <f t="shared" si="4"/>
        <v>0</v>
      </c>
      <c r="H20" s="71">
        <f t="shared" si="4"/>
        <v>0</v>
      </c>
      <c r="I20" s="143">
        <f t="shared" si="4"/>
        <v>0</v>
      </c>
      <c r="J20" s="49"/>
      <c r="L20" s="128"/>
      <c r="M20" s="125"/>
      <c r="N20" s="125"/>
      <c r="O20" s="125"/>
    </row>
    <row r="21" spans="1:15" ht="15" customHeight="1" x14ac:dyDescent="0.25">
      <c r="A21" s="256">
        <v>4</v>
      </c>
      <c r="B21" s="256"/>
      <c r="C21" s="256"/>
      <c r="D21" s="66" t="s">
        <v>13</v>
      </c>
      <c r="E21" s="135">
        <f>E22</f>
        <v>34661.35</v>
      </c>
      <c r="F21" s="135">
        <f t="shared" si="4"/>
        <v>0</v>
      </c>
      <c r="G21" s="135">
        <f t="shared" si="4"/>
        <v>0</v>
      </c>
      <c r="H21" s="135">
        <f t="shared" si="4"/>
        <v>0</v>
      </c>
      <c r="I21" s="135">
        <f t="shared" si="4"/>
        <v>0</v>
      </c>
      <c r="L21" s="128"/>
      <c r="M21" s="125"/>
      <c r="N21" s="125"/>
      <c r="O21" s="125"/>
    </row>
    <row r="22" spans="1:15" ht="27.95" customHeight="1" x14ac:dyDescent="0.25">
      <c r="A22" s="254">
        <v>45</v>
      </c>
      <c r="B22" s="254"/>
      <c r="C22" s="254"/>
      <c r="D22" s="67" t="s">
        <v>49</v>
      </c>
      <c r="E22" s="136">
        <v>34661.35</v>
      </c>
      <c r="F22" s="191">
        <v>0</v>
      </c>
      <c r="G22" s="73">
        <v>0</v>
      </c>
      <c r="H22" s="73">
        <v>0</v>
      </c>
      <c r="I22" s="145">
        <v>0</v>
      </c>
      <c r="L22" s="128"/>
      <c r="M22" s="125"/>
      <c r="N22" s="125"/>
      <c r="O22" s="125"/>
    </row>
    <row r="23" spans="1:15" ht="15" customHeight="1" x14ac:dyDescent="0.25">
      <c r="A23" s="255">
        <v>52</v>
      </c>
      <c r="B23" s="255"/>
      <c r="C23" s="255"/>
      <c r="D23" s="65" t="s">
        <v>28</v>
      </c>
      <c r="E23" s="134">
        <f t="shared" ref="E23:I24" si="5">E24</f>
        <v>369714.02</v>
      </c>
      <c r="F23" s="189">
        <f t="shared" si="5"/>
        <v>666103</v>
      </c>
      <c r="G23" s="71">
        <f>G24</f>
        <v>3716239</v>
      </c>
      <c r="H23" s="71">
        <f t="shared" si="5"/>
        <v>0</v>
      </c>
      <c r="I23" s="143">
        <f t="shared" si="5"/>
        <v>0</v>
      </c>
      <c r="J23" s="49"/>
      <c r="L23" s="123"/>
      <c r="M23" s="123"/>
      <c r="N23" s="123"/>
      <c r="O23" s="123"/>
    </row>
    <row r="24" spans="1:15" ht="15" customHeight="1" x14ac:dyDescent="0.25">
      <c r="A24" s="256">
        <v>4</v>
      </c>
      <c r="B24" s="256"/>
      <c r="C24" s="256"/>
      <c r="D24" s="66" t="s">
        <v>13</v>
      </c>
      <c r="E24" s="135">
        <f t="shared" si="5"/>
        <v>369714.02</v>
      </c>
      <c r="F24" s="190">
        <f t="shared" si="5"/>
        <v>666103</v>
      </c>
      <c r="G24" s="72">
        <f>G25+G26</f>
        <v>3716239</v>
      </c>
      <c r="H24" s="72">
        <f t="shared" ref="H24:I24" si="6">H25+H26</f>
        <v>0</v>
      </c>
      <c r="I24" s="144">
        <f t="shared" si="6"/>
        <v>0</v>
      </c>
    </row>
    <row r="25" spans="1:15" ht="25.5" x14ac:dyDescent="0.25">
      <c r="A25" s="254">
        <v>42</v>
      </c>
      <c r="B25" s="254"/>
      <c r="C25" s="254"/>
      <c r="D25" s="67" t="s">
        <v>47</v>
      </c>
      <c r="E25" s="136">
        <v>369714.02</v>
      </c>
      <c r="F25" s="191">
        <v>666103</v>
      </c>
      <c r="G25" s="73">
        <v>0</v>
      </c>
      <c r="H25" s="73">
        <v>0</v>
      </c>
      <c r="I25" s="145">
        <v>0</v>
      </c>
    </row>
    <row r="26" spans="1:15" ht="25.5" x14ac:dyDescent="0.25">
      <c r="A26" s="254">
        <v>45</v>
      </c>
      <c r="B26" s="254"/>
      <c r="C26" s="254"/>
      <c r="D26" s="67" t="s">
        <v>49</v>
      </c>
      <c r="E26" s="136">
        <v>0</v>
      </c>
      <c r="F26" s="191">
        <v>0</v>
      </c>
      <c r="G26" s="73">
        <v>3716239</v>
      </c>
      <c r="H26" s="73">
        <v>0</v>
      </c>
      <c r="I26" s="145">
        <v>0</v>
      </c>
    </row>
    <row r="27" spans="1:15" x14ac:dyDescent="0.25">
      <c r="A27" s="255">
        <v>581</v>
      </c>
      <c r="B27" s="255"/>
      <c r="C27" s="255"/>
      <c r="D27" s="65" t="s">
        <v>44</v>
      </c>
      <c r="E27" s="134">
        <f t="shared" ref="E27:I27" si="7">E28</f>
        <v>0</v>
      </c>
      <c r="F27" s="189">
        <f t="shared" si="7"/>
        <v>17165116</v>
      </c>
      <c r="G27" s="71">
        <f t="shared" si="7"/>
        <v>0</v>
      </c>
      <c r="H27" s="71">
        <f t="shared" si="7"/>
        <v>0</v>
      </c>
      <c r="I27" s="143">
        <f t="shared" si="7"/>
        <v>0</v>
      </c>
      <c r="J27" s="49"/>
    </row>
    <row r="28" spans="1:15" ht="15" customHeight="1" x14ac:dyDescent="0.25">
      <c r="A28" s="256">
        <v>4</v>
      </c>
      <c r="B28" s="256"/>
      <c r="C28" s="256"/>
      <c r="D28" s="66" t="s">
        <v>13</v>
      </c>
      <c r="E28" s="135">
        <f t="shared" ref="E28:I28" si="8">E29+E30</f>
        <v>0</v>
      </c>
      <c r="F28" s="190">
        <f t="shared" si="8"/>
        <v>17165116</v>
      </c>
      <c r="G28" s="72">
        <f t="shared" si="8"/>
        <v>0</v>
      </c>
      <c r="H28" s="72">
        <f t="shared" si="8"/>
        <v>0</v>
      </c>
      <c r="I28" s="144">
        <f t="shared" si="8"/>
        <v>0</v>
      </c>
    </row>
    <row r="29" spans="1:15" ht="27.95" customHeight="1" x14ac:dyDescent="0.25">
      <c r="A29" s="254">
        <v>42</v>
      </c>
      <c r="B29" s="254"/>
      <c r="C29" s="254"/>
      <c r="D29" s="67" t="s">
        <v>47</v>
      </c>
      <c r="E29" s="136">
        <v>0</v>
      </c>
      <c r="F29" s="191">
        <v>15355839</v>
      </c>
      <c r="G29" s="73">
        <v>0</v>
      </c>
      <c r="H29" s="73">
        <v>0</v>
      </c>
      <c r="I29" s="145">
        <v>0</v>
      </c>
    </row>
    <row r="30" spans="1:15" ht="27.95" customHeight="1" x14ac:dyDescent="0.25">
      <c r="A30" s="254">
        <v>45</v>
      </c>
      <c r="B30" s="254"/>
      <c r="C30" s="254"/>
      <c r="D30" s="68" t="s">
        <v>49</v>
      </c>
      <c r="E30" s="136">
        <v>0</v>
      </c>
      <c r="F30" s="191">
        <v>1809277</v>
      </c>
      <c r="G30" s="73">
        <v>0</v>
      </c>
      <c r="H30" s="73">
        <v>0</v>
      </c>
      <c r="I30" s="145">
        <v>0</v>
      </c>
    </row>
    <row r="31" spans="1:15" x14ac:dyDescent="0.25">
      <c r="A31" s="255">
        <v>61</v>
      </c>
      <c r="B31" s="255"/>
      <c r="C31" s="255"/>
      <c r="D31" s="65" t="s">
        <v>42</v>
      </c>
      <c r="E31" s="134">
        <f t="shared" ref="E31:I31" si="9">E32</f>
        <v>82625.38</v>
      </c>
      <c r="F31" s="189">
        <f t="shared" si="9"/>
        <v>228701</v>
      </c>
      <c r="G31" s="71">
        <f t="shared" si="9"/>
        <v>65800</v>
      </c>
      <c r="H31" s="71">
        <f t="shared" si="9"/>
        <v>15800</v>
      </c>
      <c r="I31" s="143">
        <f t="shared" si="9"/>
        <v>6800</v>
      </c>
    </row>
    <row r="32" spans="1:15" ht="15" customHeight="1" x14ac:dyDescent="0.25">
      <c r="A32" s="256">
        <v>4</v>
      </c>
      <c r="B32" s="256"/>
      <c r="C32" s="256"/>
      <c r="D32" s="66" t="s">
        <v>13</v>
      </c>
      <c r="E32" s="135">
        <f>E33+E34</f>
        <v>82625.38</v>
      </c>
      <c r="F32" s="190">
        <f t="shared" ref="F32:I32" si="10">F33+F34</f>
        <v>228701</v>
      </c>
      <c r="G32" s="72">
        <f t="shared" si="10"/>
        <v>65800</v>
      </c>
      <c r="H32" s="72">
        <f t="shared" si="10"/>
        <v>15800</v>
      </c>
      <c r="I32" s="144">
        <f t="shared" si="10"/>
        <v>6800</v>
      </c>
    </row>
    <row r="33" spans="1:10" ht="27.95" customHeight="1" x14ac:dyDescent="0.25">
      <c r="A33" s="254">
        <v>42</v>
      </c>
      <c r="B33" s="254"/>
      <c r="C33" s="254"/>
      <c r="D33" s="67" t="s">
        <v>47</v>
      </c>
      <c r="E33" s="136">
        <v>17845.61</v>
      </c>
      <c r="F33" s="191">
        <v>221800</v>
      </c>
      <c r="G33" s="73">
        <v>65800</v>
      </c>
      <c r="H33" s="73">
        <v>15800</v>
      </c>
      <c r="I33" s="145">
        <v>6800</v>
      </c>
    </row>
    <row r="34" spans="1:10" ht="27.95" customHeight="1" x14ac:dyDescent="0.25">
      <c r="A34" s="254">
        <v>45</v>
      </c>
      <c r="B34" s="254"/>
      <c r="C34" s="254"/>
      <c r="D34" s="67" t="s">
        <v>49</v>
      </c>
      <c r="E34" s="136">
        <v>64779.77</v>
      </c>
      <c r="F34" s="191">
        <v>6901</v>
      </c>
      <c r="G34" s="73">
        <v>0</v>
      </c>
      <c r="H34" s="73">
        <v>0</v>
      </c>
      <c r="I34" s="145">
        <v>0</v>
      </c>
    </row>
    <row r="35" spans="1:10" x14ac:dyDescent="0.25">
      <c r="A35" s="255">
        <v>71</v>
      </c>
      <c r="B35" s="255"/>
      <c r="C35" s="255"/>
      <c r="D35" s="65" t="s">
        <v>48</v>
      </c>
      <c r="E35" s="134">
        <f t="shared" ref="E35:I36" si="11">E36</f>
        <v>0</v>
      </c>
      <c r="F35" s="189">
        <f t="shared" si="11"/>
        <v>1195</v>
      </c>
      <c r="G35" s="71">
        <f t="shared" si="11"/>
        <v>1181</v>
      </c>
      <c r="H35" s="71">
        <f t="shared" si="11"/>
        <v>1168</v>
      </c>
      <c r="I35" s="143">
        <f t="shared" si="11"/>
        <v>1158</v>
      </c>
    </row>
    <row r="36" spans="1:10" ht="15" customHeight="1" x14ac:dyDescent="0.25">
      <c r="A36" s="256">
        <v>4</v>
      </c>
      <c r="B36" s="256"/>
      <c r="C36" s="256"/>
      <c r="D36" s="66" t="s">
        <v>13</v>
      </c>
      <c r="E36" s="135">
        <f t="shared" si="11"/>
        <v>0</v>
      </c>
      <c r="F36" s="190">
        <f t="shared" si="11"/>
        <v>1195</v>
      </c>
      <c r="G36" s="72">
        <f t="shared" si="11"/>
        <v>1181</v>
      </c>
      <c r="H36" s="72">
        <f t="shared" si="11"/>
        <v>1168</v>
      </c>
      <c r="I36" s="144">
        <f t="shared" si="11"/>
        <v>1158</v>
      </c>
    </row>
    <row r="37" spans="1:10" ht="27.95" customHeight="1" x14ac:dyDescent="0.25">
      <c r="A37" s="254">
        <v>42</v>
      </c>
      <c r="B37" s="254"/>
      <c r="C37" s="254"/>
      <c r="D37" s="67" t="s">
        <v>47</v>
      </c>
      <c r="E37" s="136">
        <v>0</v>
      </c>
      <c r="F37" s="191">
        <v>1195</v>
      </c>
      <c r="G37" s="73">
        <v>1181</v>
      </c>
      <c r="H37" s="73">
        <v>1168</v>
      </c>
      <c r="I37" s="145">
        <v>1158</v>
      </c>
    </row>
    <row r="38" spans="1:10" s="57" customFormat="1" ht="25.5" x14ac:dyDescent="0.25">
      <c r="A38" s="259" t="s">
        <v>71</v>
      </c>
      <c r="B38" s="259"/>
      <c r="C38" s="259"/>
      <c r="D38" s="64" t="s">
        <v>67</v>
      </c>
      <c r="E38" s="133">
        <f>E39+E42+E47</f>
        <v>298644.06</v>
      </c>
      <c r="F38" s="188">
        <f>F39+F42+F47</f>
        <v>264893</v>
      </c>
      <c r="G38" s="60">
        <f>G39+G42+G47</f>
        <v>0</v>
      </c>
      <c r="H38" s="60">
        <f>H39+H42+H47</f>
        <v>0</v>
      </c>
      <c r="I38" s="142">
        <f>I39+I42+I47</f>
        <v>0</v>
      </c>
      <c r="J38" s="94"/>
    </row>
    <row r="39" spans="1:10" ht="15" customHeight="1" x14ac:dyDescent="0.25">
      <c r="A39" s="255">
        <v>11</v>
      </c>
      <c r="B39" s="255"/>
      <c r="C39" s="255"/>
      <c r="D39" s="65" t="s">
        <v>10</v>
      </c>
      <c r="E39" s="52">
        <f>E40</f>
        <v>61052.49</v>
      </c>
      <c r="F39" s="192">
        <f t="shared" ref="F39:I40" si="12">F40</f>
        <v>0</v>
      </c>
      <c r="G39" s="192">
        <f t="shared" si="12"/>
        <v>0</v>
      </c>
      <c r="H39" s="192">
        <f t="shared" si="12"/>
        <v>0</v>
      </c>
      <c r="I39" s="192">
        <f t="shared" si="12"/>
        <v>0</v>
      </c>
    </row>
    <row r="40" spans="1:10" ht="15" customHeight="1" x14ac:dyDescent="0.25">
      <c r="A40" s="256">
        <v>4</v>
      </c>
      <c r="B40" s="256"/>
      <c r="C40" s="256"/>
      <c r="D40" s="66" t="s">
        <v>13</v>
      </c>
      <c r="E40" s="53">
        <f>E41</f>
        <v>61052.49</v>
      </c>
      <c r="F40" s="53">
        <f t="shared" si="12"/>
        <v>0</v>
      </c>
      <c r="G40" s="53">
        <f t="shared" si="12"/>
        <v>0</v>
      </c>
      <c r="H40" s="53">
        <f t="shared" si="12"/>
        <v>0</v>
      </c>
      <c r="I40" s="53">
        <f t="shared" si="12"/>
        <v>0</v>
      </c>
    </row>
    <row r="41" spans="1:10" ht="27.95" customHeight="1" x14ac:dyDescent="0.25">
      <c r="A41" s="254">
        <v>42</v>
      </c>
      <c r="B41" s="254"/>
      <c r="C41" s="254"/>
      <c r="D41" s="67" t="s">
        <v>47</v>
      </c>
      <c r="E41" s="54">
        <v>61052.49</v>
      </c>
      <c r="F41" s="194">
        <v>0</v>
      </c>
      <c r="G41" s="73">
        <v>0</v>
      </c>
      <c r="H41" s="73">
        <v>0</v>
      </c>
      <c r="I41" s="73">
        <v>0</v>
      </c>
    </row>
    <row r="42" spans="1:10" ht="18" customHeight="1" x14ac:dyDescent="0.25">
      <c r="A42" s="255">
        <v>12</v>
      </c>
      <c r="B42" s="255"/>
      <c r="C42" s="255"/>
      <c r="D42" s="65" t="s">
        <v>39</v>
      </c>
      <c r="E42" s="52">
        <f t="shared" ref="E42:I42" si="13">E43+E45</f>
        <v>38276.899999999994</v>
      </c>
      <c r="F42" s="192">
        <f t="shared" si="13"/>
        <v>39735</v>
      </c>
      <c r="G42" s="71">
        <f t="shared" si="13"/>
        <v>0</v>
      </c>
      <c r="H42" s="71">
        <f t="shared" si="13"/>
        <v>0</v>
      </c>
      <c r="I42" s="71">
        <f t="shared" si="13"/>
        <v>0</v>
      </c>
    </row>
    <row r="43" spans="1:10" ht="15" customHeight="1" x14ac:dyDescent="0.25">
      <c r="A43" s="256">
        <v>3</v>
      </c>
      <c r="B43" s="256"/>
      <c r="C43" s="256"/>
      <c r="D43" s="66" t="s">
        <v>11</v>
      </c>
      <c r="E43" s="53">
        <f t="shared" ref="E43:I43" si="14">E44</f>
        <v>1990.84</v>
      </c>
      <c r="F43" s="193">
        <f t="shared" si="14"/>
        <v>9676</v>
      </c>
      <c r="G43" s="72">
        <f t="shared" si="14"/>
        <v>0</v>
      </c>
      <c r="H43" s="72">
        <f t="shared" si="14"/>
        <v>0</v>
      </c>
      <c r="I43" s="72">
        <f t="shared" si="14"/>
        <v>0</v>
      </c>
    </row>
    <row r="44" spans="1:10" ht="15" customHeight="1" x14ac:dyDescent="0.25">
      <c r="A44" s="254">
        <v>32</v>
      </c>
      <c r="B44" s="254"/>
      <c r="C44" s="254"/>
      <c r="D44" s="67" t="s">
        <v>21</v>
      </c>
      <c r="E44" s="54">
        <v>1990.84</v>
      </c>
      <c r="F44" s="194">
        <v>9676</v>
      </c>
      <c r="G44" s="73">
        <v>0</v>
      </c>
      <c r="H44" s="73">
        <v>0</v>
      </c>
      <c r="I44" s="73">
        <v>0</v>
      </c>
    </row>
    <row r="45" spans="1:10" ht="15" customHeight="1" x14ac:dyDescent="0.25">
      <c r="A45" s="256">
        <v>4</v>
      </c>
      <c r="B45" s="256"/>
      <c r="C45" s="256"/>
      <c r="D45" s="66" t="s">
        <v>13</v>
      </c>
      <c r="E45" s="53">
        <f>E46</f>
        <v>36286.06</v>
      </c>
      <c r="F45" s="193">
        <f t="shared" ref="F45:I45" si="15">F46</f>
        <v>30059</v>
      </c>
      <c r="G45" s="193">
        <f t="shared" si="15"/>
        <v>0</v>
      </c>
      <c r="H45" s="193">
        <f t="shared" si="15"/>
        <v>0</v>
      </c>
      <c r="I45" s="193">
        <f t="shared" si="15"/>
        <v>0</v>
      </c>
    </row>
    <row r="46" spans="1:10" ht="27.95" customHeight="1" x14ac:dyDescent="0.25">
      <c r="A46" s="254">
        <v>42</v>
      </c>
      <c r="B46" s="254"/>
      <c r="C46" s="254"/>
      <c r="D46" s="67" t="s">
        <v>47</v>
      </c>
      <c r="E46" s="54">
        <v>36286.06</v>
      </c>
      <c r="F46" s="194">
        <v>30059</v>
      </c>
      <c r="G46" s="73">
        <v>0</v>
      </c>
      <c r="H46" s="73">
        <v>0</v>
      </c>
      <c r="I46" s="73">
        <v>0</v>
      </c>
    </row>
    <row r="47" spans="1:10" ht="15" customHeight="1" x14ac:dyDescent="0.25">
      <c r="A47" s="255">
        <v>563</v>
      </c>
      <c r="B47" s="255"/>
      <c r="C47" s="255"/>
      <c r="D47" s="65" t="s">
        <v>40</v>
      </c>
      <c r="E47" s="52">
        <f t="shared" ref="E47:I47" si="16">E48+E50</f>
        <v>199314.67</v>
      </c>
      <c r="F47" s="192">
        <f t="shared" si="16"/>
        <v>225158</v>
      </c>
      <c r="G47" s="71">
        <f t="shared" si="16"/>
        <v>0</v>
      </c>
      <c r="H47" s="71">
        <f t="shared" si="16"/>
        <v>0</v>
      </c>
      <c r="I47" s="71">
        <f t="shared" si="16"/>
        <v>0</v>
      </c>
    </row>
    <row r="48" spans="1:10" ht="15" customHeight="1" x14ac:dyDescent="0.25">
      <c r="A48" s="256">
        <v>3</v>
      </c>
      <c r="B48" s="256"/>
      <c r="C48" s="256"/>
      <c r="D48" s="66" t="s">
        <v>11</v>
      </c>
      <c r="E48" s="53">
        <f t="shared" ref="E48:I48" si="17">E49</f>
        <v>73635.199999999997</v>
      </c>
      <c r="F48" s="193">
        <f t="shared" si="17"/>
        <v>54825</v>
      </c>
      <c r="G48" s="72">
        <f t="shared" si="17"/>
        <v>0</v>
      </c>
      <c r="H48" s="72">
        <f t="shared" si="17"/>
        <v>0</v>
      </c>
      <c r="I48" s="72">
        <f t="shared" si="17"/>
        <v>0</v>
      </c>
    </row>
    <row r="49" spans="1:10" ht="15" customHeight="1" x14ac:dyDescent="0.25">
      <c r="A49" s="254">
        <v>32</v>
      </c>
      <c r="B49" s="254"/>
      <c r="C49" s="254"/>
      <c r="D49" s="67" t="s">
        <v>21</v>
      </c>
      <c r="E49" s="54">
        <v>73635.199999999997</v>
      </c>
      <c r="F49" s="194">
        <v>54825</v>
      </c>
      <c r="G49" s="73">
        <v>0</v>
      </c>
      <c r="H49" s="73">
        <v>0</v>
      </c>
      <c r="I49" s="73">
        <v>0</v>
      </c>
    </row>
    <row r="50" spans="1:10" ht="15" customHeight="1" x14ac:dyDescent="0.25">
      <c r="A50" s="256">
        <v>4</v>
      </c>
      <c r="B50" s="256"/>
      <c r="C50" s="256"/>
      <c r="D50" s="66" t="s">
        <v>13</v>
      </c>
      <c r="E50" s="53">
        <f t="shared" ref="E50:I50" si="18">E51+E52</f>
        <v>125679.47000000002</v>
      </c>
      <c r="F50" s="193">
        <f t="shared" si="18"/>
        <v>170333</v>
      </c>
      <c r="G50" s="72">
        <f t="shared" si="18"/>
        <v>0</v>
      </c>
      <c r="H50" s="72">
        <f t="shared" si="18"/>
        <v>0</v>
      </c>
      <c r="I50" s="72">
        <f t="shared" si="18"/>
        <v>0</v>
      </c>
    </row>
    <row r="51" spans="1:10" ht="27.95" customHeight="1" x14ac:dyDescent="0.25">
      <c r="A51" s="254">
        <v>42</v>
      </c>
      <c r="B51" s="254"/>
      <c r="C51" s="254"/>
      <c r="D51" s="67" t="s">
        <v>47</v>
      </c>
      <c r="E51" s="54">
        <v>143267.23000000001</v>
      </c>
      <c r="F51" s="194">
        <v>170333</v>
      </c>
      <c r="G51" s="73">
        <v>0</v>
      </c>
      <c r="H51" s="73">
        <v>0</v>
      </c>
      <c r="I51" s="73">
        <v>0</v>
      </c>
    </row>
    <row r="52" spans="1:10" ht="27.95" customHeight="1" x14ac:dyDescent="0.25">
      <c r="A52" s="254">
        <v>45</v>
      </c>
      <c r="B52" s="254"/>
      <c r="C52" s="254"/>
      <c r="D52" s="68" t="s">
        <v>49</v>
      </c>
      <c r="E52" s="54">
        <v>-17587.759999999998</v>
      </c>
      <c r="F52" s="194">
        <v>0</v>
      </c>
      <c r="G52" s="73">
        <v>0</v>
      </c>
      <c r="H52" s="73">
        <v>0</v>
      </c>
      <c r="I52" s="73">
        <v>0</v>
      </c>
    </row>
    <row r="53" spans="1:10" s="45" customFormat="1" x14ac:dyDescent="0.25">
      <c r="A53" s="259" t="s">
        <v>72</v>
      </c>
      <c r="B53" s="259"/>
      <c r="C53" s="259"/>
      <c r="D53" s="64" t="s">
        <v>68</v>
      </c>
      <c r="E53" s="51">
        <f>E54+E59+E64+E69+E74</f>
        <v>77840.37</v>
      </c>
      <c r="F53" s="195">
        <f t="shared" ref="F53:I53" si="19">F54+F59+F64+F69+F74</f>
        <v>19349310</v>
      </c>
      <c r="G53" s="195">
        <f t="shared" si="19"/>
        <v>22876419</v>
      </c>
      <c r="H53" s="195">
        <f t="shared" si="19"/>
        <v>6794957</v>
      </c>
      <c r="I53" s="195">
        <f t="shared" si="19"/>
        <v>2414565</v>
      </c>
      <c r="J53" s="95"/>
    </row>
    <row r="54" spans="1:10" ht="15" customHeight="1" x14ac:dyDescent="0.25">
      <c r="A54" s="255">
        <v>11</v>
      </c>
      <c r="B54" s="255"/>
      <c r="C54" s="255"/>
      <c r="D54" s="65" t="s">
        <v>10</v>
      </c>
      <c r="E54" s="52">
        <f t="shared" ref="E54:I54" si="20">E57+E55</f>
        <v>0</v>
      </c>
      <c r="F54" s="192">
        <f t="shared" si="20"/>
        <v>3956834</v>
      </c>
      <c r="G54" s="192">
        <f t="shared" si="20"/>
        <v>12000000</v>
      </c>
      <c r="H54" s="192">
        <f t="shared" si="20"/>
        <v>0</v>
      </c>
      <c r="I54" s="192">
        <f t="shared" si="20"/>
        <v>0</v>
      </c>
    </row>
    <row r="55" spans="1:10" ht="15" customHeight="1" x14ac:dyDescent="0.25">
      <c r="A55" s="256">
        <v>3</v>
      </c>
      <c r="B55" s="256"/>
      <c r="C55" s="256"/>
      <c r="D55" s="66" t="s">
        <v>11</v>
      </c>
      <c r="E55" s="53">
        <f>E56</f>
        <v>0</v>
      </c>
      <c r="F55" s="193">
        <f>F56</f>
        <v>1048222</v>
      </c>
      <c r="G55" s="72">
        <f>G56</f>
        <v>302352</v>
      </c>
      <c r="H55" s="72">
        <f t="shared" ref="H55:I55" si="21">H56</f>
        <v>0</v>
      </c>
      <c r="I55" s="72">
        <f t="shared" si="21"/>
        <v>0</v>
      </c>
    </row>
    <row r="56" spans="1:10" ht="15" customHeight="1" x14ac:dyDescent="0.25">
      <c r="A56" s="254">
        <v>32</v>
      </c>
      <c r="B56" s="254"/>
      <c r="C56" s="254"/>
      <c r="D56" s="67" t="s">
        <v>21</v>
      </c>
      <c r="E56" s="54">
        <v>0</v>
      </c>
      <c r="F56" s="194">
        <v>1048222</v>
      </c>
      <c r="G56" s="73">
        <v>302352</v>
      </c>
      <c r="H56" s="73">
        <v>0</v>
      </c>
      <c r="I56" s="73">
        <v>0</v>
      </c>
    </row>
    <row r="57" spans="1:10" ht="15" customHeight="1" x14ac:dyDescent="0.25">
      <c r="A57" s="256">
        <v>4</v>
      </c>
      <c r="B57" s="256"/>
      <c r="C57" s="256"/>
      <c r="D57" s="66" t="s">
        <v>13</v>
      </c>
      <c r="E57" s="53">
        <f t="shared" ref="E57:G57" si="22">E58</f>
        <v>0</v>
      </c>
      <c r="F57" s="193">
        <f t="shared" si="22"/>
        <v>2908612</v>
      </c>
      <c r="G57" s="72">
        <f t="shared" si="22"/>
        <v>11697648</v>
      </c>
      <c r="H57" s="72">
        <f t="shared" ref="H57:I57" si="23">H58</f>
        <v>0</v>
      </c>
      <c r="I57" s="72">
        <f t="shared" si="23"/>
        <v>0</v>
      </c>
    </row>
    <row r="58" spans="1:10" ht="27.95" customHeight="1" x14ac:dyDescent="0.25">
      <c r="A58" s="254">
        <v>45</v>
      </c>
      <c r="B58" s="254"/>
      <c r="C58" s="254"/>
      <c r="D58" s="67" t="s">
        <v>49</v>
      </c>
      <c r="E58" s="54">
        <v>0</v>
      </c>
      <c r="F58" s="194">
        <v>2908612</v>
      </c>
      <c r="G58" s="73">
        <v>11697648</v>
      </c>
      <c r="H58" s="73">
        <v>0</v>
      </c>
      <c r="I58" s="73">
        <v>0</v>
      </c>
    </row>
    <row r="59" spans="1:10" ht="27.95" customHeight="1" x14ac:dyDescent="0.25">
      <c r="A59" s="255">
        <v>5761</v>
      </c>
      <c r="B59" s="255"/>
      <c r="C59" s="255"/>
      <c r="D59" s="65" t="s">
        <v>69</v>
      </c>
      <c r="E59" s="52">
        <f>E60+E62</f>
        <v>77840.37</v>
      </c>
      <c r="F59" s="192">
        <f>F60+F62</f>
        <v>10346257</v>
      </c>
      <c r="G59" s="71">
        <f>G60+G62</f>
        <v>0</v>
      </c>
      <c r="H59" s="71">
        <f t="shared" ref="H59:I59" si="24">H60+H62</f>
        <v>0</v>
      </c>
      <c r="I59" s="71">
        <f t="shared" si="24"/>
        <v>0</v>
      </c>
    </row>
    <row r="60" spans="1:10" ht="15" customHeight="1" x14ac:dyDescent="0.25">
      <c r="A60" s="256">
        <v>3</v>
      </c>
      <c r="B60" s="256"/>
      <c r="C60" s="256"/>
      <c r="D60" s="66" t="s">
        <v>11</v>
      </c>
      <c r="E60" s="53">
        <f>E61</f>
        <v>44037.96</v>
      </c>
      <c r="F60" s="193">
        <f>F61</f>
        <v>1280377</v>
      </c>
      <c r="G60" s="72">
        <f>G61</f>
        <v>0</v>
      </c>
      <c r="H60" s="72">
        <f t="shared" ref="H60:I60" si="25">H61</f>
        <v>0</v>
      </c>
      <c r="I60" s="72">
        <f t="shared" si="25"/>
        <v>0</v>
      </c>
    </row>
    <row r="61" spans="1:10" ht="15" customHeight="1" x14ac:dyDescent="0.25">
      <c r="A61" s="254">
        <v>32</v>
      </c>
      <c r="B61" s="254"/>
      <c r="C61" s="254"/>
      <c r="D61" s="67" t="s">
        <v>21</v>
      </c>
      <c r="E61" s="54">
        <v>44037.96</v>
      </c>
      <c r="F61" s="194">
        <v>1280377</v>
      </c>
      <c r="G61" s="73">
        <v>0</v>
      </c>
      <c r="H61" s="73">
        <v>0</v>
      </c>
      <c r="I61" s="73">
        <v>0</v>
      </c>
    </row>
    <row r="62" spans="1:10" ht="15" customHeight="1" x14ac:dyDescent="0.25">
      <c r="A62" s="256">
        <v>4</v>
      </c>
      <c r="B62" s="256"/>
      <c r="C62" s="256"/>
      <c r="D62" s="66" t="s">
        <v>13</v>
      </c>
      <c r="E62" s="53">
        <f>E63</f>
        <v>33802.410000000003</v>
      </c>
      <c r="F62" s="196">
        <f>F63</f>
        <v>9065880</v>
      </c>
      <c r="G62" s="137">
        <f>G63</f>
        <v>0</v>
      </c>
      <c r="H62" s="72">
        <f t="shared" ref="H62:I62" si="26">H63</f>
        <v>0</v>
      </c>
      <c r="I62" s="72">
        <f t="shared" si="26"/>
        <v>0</v>
      </c>
    </row>
    <row r="63" spans="1:10" ht="27.95" customHeight="1" x14ac:dyDescent="0.25">
      <c r="A63" s="254">
        <v>45</v>
      </c>
      <c r="B63" s="254"/>
      <c r="C63" s="254"/>
      <c r="D63" s="67" t="s">
        <v>49</v>
      </c>
      <c r="E63" s="54">
        <v>33802.410000000003</v>
      </c>
      <c r="F63" s="194">
        <v>9065880</v>
      </c>
      <c r="G63" s="73">
        <v>0</v>
      </c>
      <c r="H63" s="73">
        <v>0</v>
      </c>
      <c r="I63" s="73">
        <v>0</v>
      </c>
    </row>
    <row r="64" spans="1:10" ht="27.95" customHeight="1" x14ac:dyDescent="0.25">
      <c r="A64" s="255">
        <v>5762</v>
      </c>
      <c r="B64" s="255"/>
      <c r="C64" s="255"/>
      <c r="D64" s="65" t="s">
        <v>82</v>
      </c>
      <c r="E64" s="52">
        <f>E65+E67</f>
        <v>0</v>
      </c>
      <c r="F64" s="192">
        <f>F65+F67</f>
        <v>645079</v>
      </c>
      <c r="G64" s="71">
        <f>G65+G67</f>
        <v>0</v>
      </c>
      <c r="H64" s="71">
        <f t="shared" ref="H64:I64" si="27">H65+H67</f>
        <v>0</v>
      </c>
      <c r="I64" s="71">
        <f t="shared" si="27"/>
        <v>0</v>
      </c>
    </row>
    <row r="65" spans="1:13" ht="15" customHeight="1" x14ac:dyDescent="0.25">
      <c r="A65" s="256">
        <v>3</v>
      </c>
      <c r="B65" s="256"/>
      <c r="C65" s="256"/>
      <c r="D65" s="66" t="s">
        <v>11</v>
      </c>
      <c r="E65" s="53">
        <f>E66</f>
        <v>0</v>
      </c>
      <c r="F65" s="193">
        <f>F66</f>
        <v>345079</v>
      </c>
      <c r="G65" s="72">
        <f>G66</f>
        <v>0</v>
      </c>
      <c r="H65" s="72">
        <f t="shared" ref="H65:I65" si="28">H66</f>
        <v>0</v>
      </c>
      <c r="I65" s="72">
        <f t="shared" si="28"/>
        <v>0</v>
      </c>
    </row>
    <row r="66" spans="1:13" ht="15" customHeight="1" x14ac:dyDescent="0.25">
      <c r="A66" s="254">
        <v>32</v>
      </c>
      <c r="B66" s="254"/>
      <c r="C66" s="254"/>
      <c r="D66" s="67" t="s">
        <v>21</v>
      </c>
      <c r="E66" s="54">
        <v>0</v>
      </c>
      <c r="F66" s="194">
        <v>345079</v>
      </c>
      <c r="G66" s="73">
        <v>0</v>
      </c>
      <c r="H66" s="73">
        <v>0</v>
      </c>
      <c r="I66" s="73">
        <v>0</v>
      </c>
      <c r="M66" s="43"/>
    </row>
    <row r="67" spans="1:13" ht="27.95" customHeight="1" x14ac:dyDescent="0.25">
      <c r="A67" s="256">
        <v>4</v>
      </c>
      <c r="B67" s="256"/>
      <c r="C67" s="256"/>
      <c r="D67" s="66" t="s">
        <v>13</v>
      </c>
      <c r="E67" s="53">
        <f>E68</f>
        <v>0</v>
      </c>
      <c r="F67" s="193">
        <f>F68</f>
        <v>300000</v>
      </c>
      <c r="G67" s="72">
        <f>G68</f>
        <v>0</v>
      </c>
      <c r="H67" s="72">
        <f t="shared" ref="H67:I67" si="29">H68</f>
        <v>0</v>
      </c>
      <c r="I67" s="72">
        <f t="shared" si="29"/>
        <v>0</v>
      </c>
      <c r="M67" s="43"/>
    </row>
    <row r="68" spans="1:13" ht="27.95" customHeight="1" x14ac:dyDescent="0.25">
      <c r="A68" s="254">
        <v>45</v>
      </c>
      <c r="B68" s="254"/>
      <c r="C68" s="254"/>
      <c r="D68" s="67" t="s">
        <v>49</v>
      </c>
      <c r="E68" s="54">
        <v>0</v>
      </c>
      <c r="F68" s="194">
        <v>300000</v>
      </c>
      <c r="G68" s="73">
        <v>0</v>
      </c>
      <c r="H68" s="73">
        <v>0</v>
      </c>
      <c r="I68" s="73">
        <v>0</v>
      </c>
      <c r="M68" s="43"/>
    </row>
    <row r="69" spans="1:13" ht="15" customHeight="1" x14ac:dyDescent="0.25">
      <c r="A69" s="255">
        <v>581</v>
      </c>
      <c r="B69" s="255"/>
      <c r="C69" s="255"/>
      <c r="D69" s="65" t="s">
        <v>44</v>
      </c>
      <c r="E69" s="52">
        <f t="shared" ref="E69:I69" si="30">E70+E72</f>
        <v>0</v>
      </c>
      <c r="F69" s="192">
        <f t="shared" si="30"/>
        <v>4401140</v>
      </c>
      <c r="G69" s="71">
        <f t="shared" si="30"/>
        <v>0</v>
      </c>
      <c r="H69" s="71">
        <f t="shared" si="30"/>
        <v>0</v>
      </c>
      <c r="I69" s="71">
        <f t="shared" si="30"/>
        <v>0</v>
      </c>
      <c r="J69" s="49"/>
    </row>
    <row r="70" spans="1:13" ht="15" customHeight="1" x14ac:dyDescent="0.25">
      <c r="A70" s="256">
        <v>3</v>
      </c>
      <c r="B70" s="256"/>
      <c r="C70" s="256"/>
      <c r="D70" s="66" t="s">
        <v>11</v>
      </c>
      <c r="E70" s="53">
        <f>E71</f>
        <v>0</v>
      </c>
      <c r="F70" s="193">
        <f>F71</f>
        <v>14835</v>
      </c>
      <c r="G70" s="72">
        <f>G71</f>
        <v>0</v>
      </c>
      <c r="H70" s="72">
        <f t="shared" ref="H70:I70" si="31">H71</f>
        <v>0</v>
      </c>
      <c r="I70" s="72">
        <f t="shared" si="31"/>
        <v>0</v>
      </c>
    </row>
    <row r="71" spans="1:13" ht="15" customHeight="1" x14ac:dyDescent="0.25">
      <c r="A71" s="254">
        <v>32</v>
      </c>
      <c r="B71" s="254"/>
      <c r="C71" s="254"/>
      <c r="D71" s="67" t="s">
        <v>21</v>
      </c>
      <c r="E71" s="54">
        <v>0</v>
      </c>
      <c r="F71" s="194">
        <v>14835</v>
      </c>
      <c r="G71" s="73">
        <v>0</v>
      </c>
      <c r="H71" s="73">
        <v>0</v>
      </c>
      <c r="I71" s="73">
        <v>0</v>
      </c>
    </row>
    <row r="72" spans="1:13" s="45" customFormat="1" ht="15" customHeight="1" x14ac:dyDescent="0.25">
      <c r="A72" s="256">
        <v>4</v>
      </c>
      <c r="B72" s="256"/>
      <c r="C72" s="256"/>
      <c r="D72" s="66" t="s">
        <v>13</v>
      </c>
      <c r="E72" s="53">
        <f>E73</f>
        <v>0</v>
      </c>
      <c r="F72" s="193">
        <f>F73</f>
        <v>4386305</v>
      </c>
      <c r="G72" s="72">
        <f>G73</f>
        <v>0</v>
      </c>
      <c r="H72" s="72">
        <f t="shared" ref="H72:I72" si="32">H73</f>
        <v>0</v>
      </c>
      <c r="I72" s="72">
        <f t="shared" si="32"/>
        <v>0</v>
      </c>
    </row>
    <row r="73" spans="1:13" ht="27.95" customHeight="1" x14ac:dyDescent="0.25">
      <c r="A73" s="254">
        <v>45</v>
      </c>
      <c r="B73" s="254"/>
      <c r="C73" s="254"/>
      <c r="D73" s="67" t="s">
        <v>49</v>
      </c>
      <c r="E73" s="54">
        <v>0</v>
      </c>
      <c r="F73" s="194">
        <v>4386305</v>
      </c>
      <c r="G73" s="73">
        <v>0</v>
      </c>
      <c r="H73" s="73">
        <v>0</v>
      </c>
      <c r="I73" s="73">
        <v>0</v>
      </c>
    </row>
    <row r="74" spans="1:13" ht="15" customHeight="1" x14ac:dyDescent="0.25">
      <c r="A74" s="255">
        <v>815</v>
      </c>
      <c r="B74" s="255"/>
      <c r="C74" s="255"/>
      <c r="D74" s="65" t="s">
        <v>233</v>
      </c>
      <c r="E74" s="52">
        <f t="shared" ref="E74:I74" si="33">E75+E77</f>
        <v>0</v>
      </c>
      <c r="F74" s="192">
        <f t="shared" si="33"/>
        <v>0</v>
      </c>
      <c r="G74" s="71">
        <f t="shared" si="33"/>
        <v>10876419</v>
      </c>
      <c r="H74" s="71">
        <f t="shared" si="33"/>
        <v>6794957</v>
      </c>
      <c r="I74" s="71">
        <f t="shared" si="33"/>
        <v>2414565</v>
      </c>
    </row>
    <row r="75" spans="1:13" ht="15" customHeight="1" x14ac:dyDescent="0.25">
      <c r="A75" s="256">
        <v>3</v>
      </c>
      <c r="B75" s="256"/>
      <c r="C75" s="256"/>
      <c r="D75" s="66" t="s">
        <v>11</v>
      </c>
      <c r="E75" s="53">
        <f>E76</f>
        <v>0</v>
      </c>
      <c r="F75" s="193">
        <f>F76</f>
        <v>0</v>
      </c>
      <c r="G75" s="72">
        <f>G76</f>
        <v>253852</v>
      </c>
      <c r="H75" s="72">
        <f t="shared" ref="H75:I75" si="34">H76</f>
        <v>567154</v>
      </c>
      <c r="I75" s="72">
        <f t="shared" si="34"/>
        <v>283577</v>
      </c>
    </row>
    <row r="76" spans="1:13" ht="15" customHeight="1" x14ac:dyDescent="0.25">
      <c r="A76" s="254">
        <v>32</v>
      </c>
      <c r="B76" s="254"/>
      <c r="C76" s="254"/>
      <c r="D76" s="67" t="s">
        <v>21</v>
      </c>
      <c r="E76" s="54">
        <v>0</v>
      </c>
      <c r="F76" s="194">
        <v>0</v>
      </c>
      <c r="G76" s="73">
        <v>253852</v>
      </c>
      <c r="H76" s="73">
        <v>567154</v>
      </c>
      <c r="I76" s="73">
        <v>283577</v>
      </c>
    </row>
    <row r="77" spans="1:13" ht="15" customHeight="1" x14ac:dyDescent="0.25">
      <c r="A77" s="256">
        <v>4</v>
      </c>
      <c r="B77" s="256"/>
      <c r="C77" s="256"/>
      <c r="D77" s="66" t="s">
        <v>13</v>
      </c>
      <c r="E77" s="53">
        <f>E78</f>
        <v>0</v>
      </c>
      <c r="F77" s="193">
        <f>F78</f>
        <v>0</v>
      </c>
      <c r="G77" s="72">
        <f>G78</f>
        <v>10622567</v>
      </c>
      <c r="H77" s="72">
        <f t="shared" ref="H77:I77" si="35">H78</f>
        <v>6227803</v>
      </c>
      <c r="I77" s="72">
        <f t="shared" si="35"/>
        <v>2130988</v>
      </c>
    </row>
    <row r="78" spans="1:13" ht="27.95" customHeight="1" x14ac:dyDescent="0.25">
      <c r="A78" s="254">
        <v>45</v>
      </c>
      <c r="B78" s="254"/>
      <c r="C78" s="254"/>
      <c r="D78" s="67" t="s">
        <v>49</v>
      </c>
      <c r="E78" s="54">
        <v>0</v>
      </c>
      <c r="F78" s="194">
        <v>0</v>
      </c>
      <c r="G78" s="73">
        <v>10622567</v>
      </c>
      <c r="H78" s="73">
        <v>6227803</v>
      </c>
      <c r="I78" s="73">
        <v>2130988</v>
      </c>
    </row>
    <row r="79" spans="1:13" ht="99" customHeight="1" x14ac:dyDescent="0.25">
      <c r="A79" s="257" t="s">
        <v>73</v>
      </c>
      <c r="B79" s="257"/>
      <c r="C79" s="257"/>
      <c r="D79" s="64" t="s">
        <v>74</v>
      </c>
      <c r="E79" s="51">
        <f>E80+E86</f>
        <v>33478.129999999997</v>
      </c>
      <c r="F79" s="195">
        <f>F80+F86</f>
        <v>3055469</v>
      </c>
      <c r="G79" s="60">
        <f>G80+G86</f>
        <v>0</v>
      </c>
      <c r="H79" s="60">
        <f t="shared" ref="H79:I79" si="36">H80+H86</f>
        <v>0</v>
      </c>
      <c r="I79" s="60">
        <f t="shared" si="36"/>
        <v>0</v>
      </c>
    </row>
    <row r="80" spans="1:13" ht="15" customHeight="1" x14ac:dyDescent="0.25">
      <c r="A80" s="255">
        <v>12</v>
      </c>
      <c r="B80" s="255"/>
      <c r="C80" s="255"/>
      <c r="D80" s="65" t="s">
        <v>39</v>
      </c>
      <c r="E80" s="52">
        <f>E81+E84</f>
        <v>5021.7699999999995</v>
      </c>
      <c r="F80" s="192">
        <f>F81+F84</f>
        <v>461694</v>
      </c>
      <c r="G80" s="71">
        <f>G81+G84</f>
        <v>0</v>
      </c>
      <c r="H80" s="71">
        <f t="shared" ref="H80:I80" si="37">H81+H84</f>
        <v>0</v>
      </c>
      <c r="I80" s="71">
        <f t="shared" si="37"/>
        <v>0</v>
      </c>
    </row>
    <row r="81" spans="1:9" ht="15" customHeight="1" x14ac:dyDescent="0.25">
      <c r="A81" s="256">
        <v>3</v>
      </c>
      <c r="B81" s="256"/>
      <c r="C81" s="256"/>
      <c r="D81" s="66" t="s">
        <v>11</v>
      </c>
      <c r="E81" s="53">
        <f>E82+E83</f>
        <v>5021.7699999999995</v>
      </c>
      <c r="F81" s="193">
        <f>F82+F83</f>
        <v>177006</v>
      </c>
      <c r="G81" s="72">
        <f>G82+G83</f>
        <v>0</v>
      </c>
      <c r="H81" s="72">
        <f t="shared" ref="H81:I81" si="38">H82+H83</f>
        <v>0</v>
      </c>
      <c r="I81" s="72">
        <f t="shared" si="38"/>
        <v>0</v>
      </c>
    </row>
    <row r="82" spans="1:9" ht="15" customHeight="1" x14ac:dyDescent="0.25">
      <c r="A82" s="254">
        <v>31</v>
      </c>
      <c r="B82" s="254"/>
      <c r="C82" s="254"/>
      <c r="D82" s="67" t="s">
        <v>12</v>
      </c>
      <c r="E82" s="54">
        <v>3228.16</v>
      </c>
      <c r="F82" s="194">
        <v>18374</v>
      </c>
      <c r="G82" s="73">
        <v>0</v>
      </c>
      <c r="H82" s="73">
        <v>0</v>
      </c>
      <c r="I82" s="73">
        <v>0</v>
      </c>
    </row>
    <row r="83" spans="1:9" ht="15" customHeight="1" x14ac:dyDescent="0.25">
      <c r="A83" s="254">
        <v>32</v>
      </c>
      <c r="B83" s="254"/>
      <c r="C83" s="254"/>
      <c r="D83" s="67" t="s">
        <v>21</v>
      </c>
      <c r="E83" s="54">
        <v>1793.61</v>
      </c>
      <c r="F83" s="194">
        <v>158632</v>
      </c>
      <c r="G83" s="73">
        <v>0</v>
      </c>
      <c r="H83" s="73">
        <v>0</v>
      </c>
      <c r="I83" s="73">
        <v>0</v>
      </c>
    </row>
    <row r="84" spans="1:9" ht="15" customHeight="1" x14ac:dyDescent="0.25">
      <c r="A84" s="256">
        <v>4</v>
      </c>
      <c r="B84" s="256"/>
      <c r="C84" s="256"/>
      <c r="D84" s="66" t="s">
        <v>13</v>
      </c>
      <c r="E84" s="53">
        <f>E85</f>
        <v>0</v>
      </c>
      <c r="F84" s="193">
        <f>F85</f>
        <v>284688</v>
      </c>
      <c r="G84" s="72">
        <f>G85</f>
        <v>0</v>
      </c>
      <c r="H84" s="72">
        <f t="shared" ref="H84:I84" si="39">H85</f>
        <v>0</v>
      </c>
      <c r="I84" s="72">
        <f t="shared" si="39"/>
        <v>0</v>
      </c>
    </row>
    <row r="85" spans="1:9" ht="27.95" customHeight="1" x14ac:dyDescent="0.25">
      <c r="A85" s="254">
        <v>42</v>
      </c>
      <c r="B85" s="254"/>
      <c r="C85" s="254"/>
      <c r="D85" s="67" t="s">
        <v>47</v>
      </c>
      <c r="E85" s="54">
        <v>0</v>
      </c>
      <c r="F85" s="194">
        <v>284688</v>
      </c>
      <c r="G85" s="73">
        <v>0</v>
      </c>
      <c r="H85" s="73">
        <v>0</v>
      </c>
      <c r="I85" s="73">
        <v>0</v>
      </c>
    </row>
    <row r="86" spans="1:9" ht="15" customHeight="1" x14ac:dyDescent="0.25">
      <c r="A86" s="255">
        <v>561</v>
      </c>
      <c r="B86" s="255"/>
      <c r="C86" s="255"/>
      <c r="D86" s="65" t="s">
        <v>41</v>
      </c>
      <c r="E86" s="52">
        <f>E87+E90</f>
        <v>28456.36</v>
      </c>
      <c r="F86" s="192">
        <f>F87+F90</f>
        <v>2593775</v>
      </c>
      <c r="G86" s="71">
        <f>G87+G90</f>
        <v>0</v>
      </c>
      <c r="H86" s="71">
        <f t="shared" ref="H86:I86" si="40">H87+H90</f>
        <v>0</v>
      </c>
      <c r="I86" s="71">
        <f t="shared" si="40"/>
        <v>0</v>
      </c>
    </row>
    <row r="87" spans="1:9" x14ac:dyDescent="0.25">
      <c r="A87" s="256">
        <v>3</v>
      </c>
      <c r="B87" s="256"/>
      <c r="C87" s="256"/>
      <c r="D87" s="66" t="s">
        <v>11</v>
      </c>
      <c r="E87" s="53">
        <f>E88+E89</f>
        <v>28456.36</v>
      </c>
      <c r="F87" s="193">
        <f>F88+F89</f>
        <v>980552</v>
      </c>
      <c r="G87" s="72">
        <f>G88+G89</f>
        <v>0</v>
      </c>
      <c r="H87" s="72">
        <f t="shared" ref="H87:I87" si="41">H88+H89</f>
        <v>0</v>
      </c>
      <c r="I87" s="72">
        <f t="shared" si="41"/>
        <v>0</v>
      </c>
    </row>
    <row r="88" spans="1:9" ht="15" customHeight="1" x14ac:dyDescent="0.25">
      <c r="A88" s="254">
        <v>31</v>
      </c>
      <c r="B88" s="254"/>
      <c r="C88" s="254"/>
      <c r="D88" s="67" t="s">
        <v>12</v>
      </c>
      <c r="E88" s="54">
        <v>18292.59</v>
      </c>
      <c r="F88" s="194">
        <v>72625</v>
      </c>
      <c r="G88" s="73">
        <v>0</v>
      </c>
      <c r="H88" s="73">
        <v>0</v>
      </c>
      <c r="I88" s="73">
        <v>0</v>
      </c>
    </row>
    <row r="89" spans="1:9" ht="15" customHeight="1" x14ac:dyDescent="0.25">
      <c r="A89" s="254">
        <v>32</v>
      </c>
      <c r="B89" s="254"/>
      <c r="C89" s="254"/>
      <c r="D89" s="67" t="s">
        <v>21</v>
      </c>
      <c r="E89" s="54">
        <v>10163.77</v>
      </c>
      <c r="F89" s="194">
        <v>907927</v>
      </c>
      <c r="G89" s="73">
        <v>0</v>
      </c>
      <c r="H89" s="73">
        <v>0</v>
      </c>
      <c r="I89" s="73">
        <v>0</v>
      </c>
    </row>
    <row r="90" spans="1:9" ht="15" customHeight="1" x14ac:dyDescent="0.25">
      <c r="A90" s="256">
        <v>4</v>
      </c>
      <c r="B90" s="256"/>
      <c r="C90" s="256"/>
      <c r="D90" s="66" t="s">
        <v>13</v>
      </c>
      <c r="E90" s="53">
        <f>E91</f>
        <v>0</v>
      </c>
      <c r="F90" s="193">
        <f>F91</f>
        <v>1613223</v>
      </c>
      <c r="G90" s="72">
        <f>G91</f>
        <v>0</v>
      </c>
      <c r="H90" s="72">
        <f t="shared" ref="H90:I90" si="42">H91</f>
        <v>0</v>
      </c>
      <c r="I90" s="72">
        <f t="shared" si="42"/>
        <v>0</v>
      </c>
    </row>
    <row r="91" spans="1:9" s="45" customFormat="1" ht="27.95" customHeight="1" x14ac:dyDescent="0.25">
      <c r="A91" s="254">
        <v>42</v>
      </c>
      <c r="B91" s="254"/>
      <c r="C91" s="254"/>
      <c r="D91" s="67" t="s">
        <v>47</v>
      </c>
      <c r="E91" s="54">
        <v>0</v>
      </c>
      <c r="F91" s="194">
        <v>1613223</v>
      </c>
      <c r="G91" s="73">
        <v>0</v>
      </c>
      <c r="H91" s="73">
        <v>0</v>
      </c>
      <c r="I91" s="73">
        <v>0</v>
      </c>
    </row>
    <row r="92" spans="1:9" ht="25.5" x14ac:dyDescent="0.25">
      <c r="A92" s="258" t="s">
        <v>90</v>
      </c>
      <c r="B92" s="258"/>
      <c r="C92" s="258"/>
      <c r="D92" s="69" t="s">
        <v>91</v>
      </c>
      <c r="E92" s="55">
        <f t="shared" ref="E92:I92" si="43">E93+E117+E124</f>
        <v>217927368.66000006</v>
      </c>
      <c r="F92" s="197">
        <f t="shared" si="43"/>
        <v>227276956</v>
      </c>
      <c r="G92" s="59">
        <f t="shared" si="43"/>
        <v>250672043</v>
      </c>
      <c r="H92" s="59">
        <f t="shared" si="43"/>
        <v>270304192</v>
      </c>
      <c r="I92" s="59">
        <f t="shared" si="43"/>
        <v>291838754</v>
      </c>
    </row>
    <row r="93" spans="1:9" x14ac:dyDescent="0.25">
      <c r="A93" s="257" t="s">
        <v>75</v>
      </c>
      <c r="B93" s="257"/>
      <c r="C93" s="257"/>
      <c r="D93" s="64" t="s">
        <v>76</v>
      </c>
      <c r="E93" s="51">
        <f t="shared" ref="E93:I93" si="44">E94+E98+E103+E109+E113</f>
        <v>217587018.04000005</v>
      </c>
      <c r="F93" s="195">
        <f t="shared" si="44"/>
        <v>227140408</v>
      </c>
      <c r="G93" s="60">
        <f t="shared" si="44"/>
        <v>250525725</v>
      </c>
      <c r="H93" s="60">
        <f t="shared" si="44"/>
        <v>270187874</v>
      </c>
      <c r="I93" s="60">
        <f t="shared" si="44"/>
        <v>291701087</v>
      </c>
    </row>
    <row r="94" spans="1:9" x14ac:dyDescent="0.25">
      <c r="A94" s="255">
        <v>11</v>
      </c>
      <c r="B94" s="255"/>
      <c r="C94" s="255"/>
      <c r="D94" s="65" t="s">
        <v>10</v>
      </c>
      <c r="E94" s="52">
        <f>E95</f>
        <v>32984063.900000002</v>
      </c>
      <c r="F94" s="192">
        <f>F95</f>
        <v>877809</v>
      </c>
      <c r="G94" s="71">
        <f>G95</f>
        <v>0</v>
      </c>
      <c r="H94" s="71">
        <f t="shared" ref="H94:I94" si="45">H95</f>
        <v>0</v>
      </c>
      <c r="I94" s="71">
        <f t="shared" si="45"/>
        <v>0</v>
      </c>
    </row>
    <row r="95" spans="1:9" ht="15" customHeight="1" x14ac:dyDescent="0.25">
      <c r="A95" s="256">
        <v>3</v>
      </c>
      <c r="B95" s="256"/>
      <c r="C95" s="256"/>
      <c r="D95" s="66" t="s">
        <v>11</v>
      </c>
      <c r="E95" s="53">
        <f>E96+E97</f>
        <v>32984063.900000002</v>
      </c>
      <c r="F95" s="193">
        <f>F96+F97</f>
        <v>877809</v>
      </c>
      <c r="G95" s="72">
        <f>G96+G97</f>
        <v>0</v>
      </c>
      <c r="H95" s="72">
        <f t="shared" ref="H95:I95" si="46">H96+H97</f>
        <v>0</v>
      </c>
      <c r="I95" s="72">
        <f t="shared" si="46"/>
        <v>0</v>
      </c>
    </row>
    <row r="96" spans="1:9" ht="15" customHeight="1" x14ac:dyDescent="0.25">
      <c r="A96" s="254">
        <v>31</v>
      </c>
      <c r="B96" s="254"/>
      <c r="C96" s="254"/>
      <c r="D96" s="67" t="s">
        <v>12</v>
      </c>
      <c r="E96" s="54">
        <v>1946000.98</v>
      </c>
      <c r="F96" s="194">
        <v>0</v>
      </c>
      <c r="G96" s="73">
        <v>0</v>
      </c>
      <c r="H96" s="73">
        <v>0</v>
      </c>
      <c r="I96" s="73">
        <v>0</v>
      </c>
    </row>
    <row r="97" spans="1:10" ht="15" customHeight="1" x14ac:dyDescent="0.25">
      <c r="A97" s="254">
        <v>32</v>
      </c>
      <c r="B97" s="254"/>
      <c r="C97" s="254"/>
      <c r="D97" s="67" t="s">
        <v>21</v>
      </c>
      <c r="E97" s="54">
        <v>31038062.920000002</v>
      </c>
      <c r="F97" s="194">
        <v>877809</v>
      </c>
      <c r="G97" s="73">
        <v>0</v>
      </c>
      <c r="H97" s="73">
        <v>0</v>
      </c>
      <c r="I97" s="73">
        <v>0</v>
      </c>
    </row>
    <row r="98" spans="1:10" ht="15" customHeight="1" x14ac:dyDescent="0.25">
      <c r="A98" s="255">
        <v>31</v>
      </c>
      <c r="B98" s="255"/>
      <c r="C98" s="255"/>
      <c r="D98" s="65" t="s">
        <v>24</v>
      </c>
      <c r="E98" s="52">
        <f>E99</f>
        <v>875764.33</v>
      </c>
      <c r="F98" s="192">
        <f>F99</f>
        <v>409020</v>
      </c>
      <c r="G98" s="71">
        <f>G99</f>
        <v>333493</v>
      </c>
      <c r="H98" s="71">
        <f t="shared" ref="H98:I98" si="47">H99</f>
        <v>333493</v>
      </c>
      <c r="I98" s="71">
        <f t="shared" si="47"/>
        <v>333493</v>
      </c>
    </row>
    <row r="99" spans="1:10" ht="15" customHeight="1" x14ac:dyDescent="0.25">
      <c r="A99" s="256">
        <v>3</v>
      </c>
      <c r="B99" s="256"/>
      <c r="C99" s="256"/>
      <c r="D99" s="66" t="s">
        <v>11</v>
      </c>
      <c r="E99" s="53">
        <f>E100+E101+E102</f>
        <v>875764.33</v>
      </c>
      <c r="F99" s="193">
        <f>F100+F101+F102</f>
        <v>409020</v>
      </c>
      <c r="G99" s="72">
        <f>G100+G101+G102</f>
        <v>333493</v>
      </c>
      <c r="H99" s="72">
        <f t="shared" ref="H99:I99" si="48">H100+H101+H102</f>
        <v>333493</v>
      </c>
      <c r="I99" s="72">
        <f t="shared" si="48"/>
        <v>333493</v>
      </c>
    </row>
    <row r="100" spans="1:10" x14ac:dyDescent="0.25">
      <c r="A100" s="254">
        <v>32</v>
      </c>
      <c r="B100" s="254"/>
      <c r="C100" s="254"/>
      <c r="D100" s="67" t="s">
        <v>21</v>
      </c>
      <c r="E100" s="54">
        <v>875764.33</v>
      </c>
      <c r="F100" s="194">
        <v>408489</v>
      </c>
      <c r="G100" s="73">
        <v>332962</v>
      </c>
      <c r="H100" s="73">
        <v>332962</v>
      </c>
      <c r="I100" s="73">
        <v>332962</v>
      </c>
    </row>
    <row r="101" spans="1:10" ht="15" customHeight="1" x14ac:dyDescent="0.25">
      <c r="A101" s="254">
        <v>34</v>
      </c>
      <c r="B101" s="254"/>
      <c r="C101" s="254"/>
      <c r="D101" s="67" t="s">
        <v>45</v>
      </c>
      <c r="E101" s="54">
        <v>0</v>
      </c>
      <c r="F101" s="194">
        <v>398</v>
      </c>
      <c r="G101" s="73">
        <v>398</v>
      </c>
      <c r="H101" s="73">
        <v>398</v>
      </c>
      <c r="I101" s="73">
        <v>398</v>
      </c>
    </row>
    <row r="102" spans="1:10" ht="15" customHeight="1" x14ac:dyDescent="0.25">
      <c r="A102" s="254">
        <v>38</v>
      </c>
      <c r="B102" s="254"/>
      <c r="C102" s="254"/>
      <c r="D102" s="67" t="s">
        <v>46</v>
      </c>
      <c r="E102" s="54">
        <v>0</v>
      </c>
      <c r="F102" s="194">
        <v>133</v>
      </c>
      <c r="G102" s="73">
        <v>133</v>
      </c>
      <c r="H102" s="73">
        <v>133</v>
      </c>
      <c r="I102" s="73">
        <v>133</v>
      </c>
    </row>
    <row r="103" spans="1:10" x14ac:dyDescent="0.25">
      <c r="A103" s="255">
        <v>43</v>
      </c>
      <c r="B103" s="255"/>
      <c r="C103" s="255"/>
      <c r="D103" s="65" t="s">
        <v>29</v>
      </c>
      <c r="E103" s="52">
        <f t="shared" ref="E103:I103" si="49">E104</f>
        <v>182688132.43000001</v>
      </c>
      <c r="F103" s="192">
        <f t="shared" si="49"/>
        <v>216903332</v>
      </c>
      <c r="G103" s="71">
        <f t="shared" si="49"/>
        <v>249411354</v>
      </c>
      <c r="H103" s="71">
        <f t="shared" si="49"/>
        <v>269073533</v>
      </c>
      <c r="I103" s="71">
        <f t="shared" si="49"/>
        <v>290586746</v>
      </c>
    </row>
    <row r="104" spans="1:10" ht="15" customHeight="1" x14ac:dyDescent="0.25">
      <c r="A104" s="256">
        <v>3</v>
      </c>
      <c r="B104" s="256"/>
      <c r="C104" s="256"/>
      <c r="D104" s="66" t="s">
        <v>11</v>
      </c>
      <c r="E104" s="53">
        <f>SUM(E105:E108)</f>
        <v>182688132.43000001</v>
      </c>
      <c r="F104" s="193">
        <f>SUM(F105:F108)</f>
        <v>216903332</v>
      </c>
      <c r="G104" s="72">
        <f>SUM(G105:G108)</f>
        <v>249411354</v>
      </c>
      <c r="H104" s="72">
        <f t="shared" ref="H104:I104" si="50">SUM(H105:H108)</f>
        <v>269073533</v>
      </c>
      <c r="I104" s="72">
        <f t="shared" si="50"/>
        <v>290586746</v>
      </c>
    </row>
    <row r="105" spans="1:10" x14ac:dyDescent="0.25">
      <c r="A105" s="254">
        <v>31</v>
      </c>
      <c r="B105" s="254"/>
      <c r="C105" s="254"/>
      <c r="D105" s="67" t="s">
        <v>12</v>
      </c>
      <c r="E105" s="54">
        <v>98021607.599999994</v>
      </c>
      <c r="F105" s="194">
        <v>116885500</v>
      </c>
      <c r="G105" s="73">
        <v>131419765</v>
      </c>
      <c r="H105" s="73">
        <v>133682101</v>
      </c>
      <c r="I105" s="73">
        <v>135989705</v>
      </c>
    </row>
    <row r="106" spans="1:10" x14ac:dyDescent="0.25">
      <c r="A106" s="254">
        <v>32</v>
      </c>
      <c r="B106" s="254"/>
      <c r="C106" s="254"/>
      <c r="D106" s="67" t="s">
        <v>21</v>
      </c>
      <c r="E106" s="54">
        <v>83936160.329999998</v>
      </c>
      <c r="F106" s="194">
        <v>98567514</v>
      </c>
      <c r="G106" s="73">
        <v>116515988</v>
      </c>
      <c r="H106" s="73">
        <v>134185331</v>
      </c>
      <c r="I106" s="73">
        <v>153490940</v>
      </c>
    </row>
    <row r="107" spans="1:10" ht="15" customHeight="1" x14ac:dyDescent="0.25">
      <c r="A107" s="254">
        <v>34</v>
      </c>
      <c r="B107" s="254"/>
      <c r="C107" s="254"/>
      <c r="D107" s="67" t="s">
        <v>45</v>
      </c>
      <c r="E107" s="54">
        <v>475497.96</v>
      </c>
      <c r="F107" s="194">
        <v>735012</v>
      </c>
      <c r="G107" s="73">
        <v>530601</v>
      </c>
      <c r="H107" s="73">
        <v>406101</v>
      </c>
      <c r="I107" s="73">
        <v>306101</v>
      </c>
    </row>
    <row r="108" spans="1:10" ht="15" customHeight="1" x14ac:dyDescent="0.25">
      <c r="A108" s="254">
        <v>38</v>
      </c>
      <c r="B108" s="254"/>
      <c r="C108" s="254"/>
      <c r="D108" s="67" t="s">
        <v>46</v>
      </c>
      <c r="E108" s="54">
        <v>254866.54</v>
      </c>
      <c r="F108" s="194">
        <v>715306</v>
      </c>
      <c r="G108" s="73">
        <v>945000</v>
      </c>
      <c r="H108" s="73">
        <v>800000</v>
      </c>
      <c r="I108" s="73">
        <v>800000</v>
      </c>
    </row>
    <row r="109" spans="1:10" x14ac:dyDescent="0.25">
      <c r="A109" s="255">
        <v>52</v>
      </c>
      <c r="B109" s="255"/>
      <c r="C109" s="255"/>
      <c r="D109" s="65" t="s">
        <v>28</v>
      </c>
      <c r="E109" s="52">
        <f>E110</f>
        <v>930548.52</v>
      </c>
      <c r="F109" s="192">
        <f>F110</f>
        <v>8812348</v>
      </c>
      <c r="G109" s="71">
        <f>G110</f>
        <v>649183</v>
      </c>
      <c r="H109" s="71">
        <f t="shared" ref="H109:I109" si="51">H110</f>
        <v>649153</v>
      </c>
      <c r="I109" s="71">
        <f t="shared" si="51"/>
        <v>649153</v>
      </c>
      <c r="J109" s="49"/>
    </row>
    <row r="110" spans="1:10" x14ac:dyDescent="0.25">
      <c r="A110" s="256">
        <v>3</v>
      </c>
      <c r="B110" s="256"/>
      <c r="C110" s="256"/>
      <c r="D110" s="66" t="s">
        <v>11</v>
      </c>
      <c r="E110" s="53">
        <f>E111+E112</f>
        <v>930548.52</v>
      </c>
      <c r="F110" s="193">
        <f>F111+F112</f>
        <v>8812348</v>
      </c>
      <c r="G110" s="72">
        <f>G111+G112</f>
        <v>649183</v>
      </c>
      <c r="H110" s="72">
        <f t="shared" ref="H110:I110" si="52">H111+H112</f>
        <v>649153</v>
      </c>
      <c r="I110" s="72">
        <f t="shared" si="52"/>
        <v>649153</v>
      </c>
    </row>
    <row r="111" spans="1:10" ht="15" customHeight="1" x14ac:dyDescent="0.25">
      <c r="A111" s="254">
        <v>31</v>
      </c>
      <c r="B111" s="254"/>
      <c r="C111" s="254"/>
      <c r="D111" s="67" t="s">
        <v>12</v>
      </c>
      <c r="E111" s="54">
        <v>860717.22</v>
      </c>
      <c r="F111" s="194">
        <v>874072</v>
      </c>
      <c r="G111" s="73">
        <v>590046</v>
      </c>
      <c r="H111" s="73">
        <v>590046</v>
      </c>
      <c r="I111" s="73">
        <v>590046</v>
      </c>
    </row>
    <row r="112" spans="1:10" ht="15" customHeight="1" x14ac:dyDescent="0.25">
      <c r="A112" s="254">
        <v>32</v>
      </c>
      <c r="B112" s="254"/>
      <c r="C112" s="254"/>
      <c r="D112" s="67" t="s">
        <v>21</v>
      </c>
      <c r="E112" s="54">
        <v>69831.3</v>
      </c>
      <c r="F112" s="194">
        <v>7938276</v>
      </c>
      <c r="G112" s="73">
        <v>59137</v>
      </c>
      <c r="H112" s="73">
        <v>59107</v>
      </c>
      <c r="I112" s="73">
        <v>59107</v>
      </c>
    </row>
    <row r="113" spans="1:9" x14ac:dyDescent="0.25">
      <c r="A113" s="255">
        <v>61</v>
      </c>
      <c r="B113" s="255"/>
      <c r="C113" s="255"/>
      <c r="D113" s="65" t="s">
        <v>42</v>
      </c>
      <c r="E113" s="52">
        <f>E114</f>
        <v>108508.86</v>
      </c>
      <c r="F113" s="192">
        <f>F114</f>
        <v>137899</v>
      </c>
      <c r="G113" s="71">
        <f>G114</f>
        <v>131695</v>
      </c>
      <c r="H113" s="71">
        <f t="shared" ref="H113:I113" si="53">H114</f>
        <v>131695</v>
      </c>
      <c r="I113" s="71">
        <f t="shared" si="53"/>
        <v>131695</v>
      </c>
    </row>
    <row r="114" spans="1:9" x14ac:dyDescent="0.25">
      <c r="A114" s="256">
        <v>3</v>
      </c>
      <c r="B114" s="256"/>
      <c r="C114" s="256"/>
      <c r="D114" s="66" t="s">
        <v>11</v>
      </c>
      <c r="E114" s="53">
        <f>E115+E116</f>
        <v>108508.86</v>
      </c>
      <c r="F114" s="193">
        <f>F115+F116</f>
        <v>137899</v>
      </c>
      <c r="G114" s="72">
        <f>G115+G116</f>
        <v>131695</v>
      </c>
      <c r="H114" s="72">
        <f t="shared" ref="H114:I114" si="54">H115+H116</f>
        <v>131695</v>
      </c>
      <c r="I114" s="72">
        <f t="shared" si="54"/>
        <v>131695</v>
      </c>
    </row>
    <row r="115" spans="1:9" x14ac:dyDescent="0.25">
      <c r="A115" s="254">
        <v>31</v>
      </c>
      <c r="B115" s="254"/>
      <c r="C115" s="254"/>
      <c r="D115" s="67" t="s">
        <v>12</v>
      </c>
      <c r="E115" s="54">
        <v>7889.26</v>
      </c>
      <c r="F115" s="194">
        <v>6525</v>
      </c>
      <c r="G115" s="73">
        <v>3500</v>
      </c>
      <c r="H115" s="73">
        <v>3500</v>
      </c>
      <c r="I115" s="73">
        <v>3500</v>
      </c>
    </row>
    <row r="116" spans="1:9" ht="15" customHeight="1" x14ac:dyDescent="0.25">
      <c r="A116" s="254">
        <v>32</v>
      </c>
      <c r="B116" s="254"/>
      <c r="C116" s="254"/>
      <c r="D116" s="67" t="s">
        <v>21</v>
      </c>
      <c r="E116" s="54">
        <v>100619.6</v>
      </c>
      <c r="F116" s="194">
        <v>131374</v>
      </c>
      <c r="G116" s="73">
        <v>128195</v>
      </c>
      <c r="H116" s="73">
        <v>128195</v>
      </c>
      <c r="I116" s="73">
        <v>128195</v>
      </c>
    </row>
    <row r="117" spans="1:9" ht="38.25" x14ac:dyDescent="0.25">
      <c r="A117" s="257" t="s">
        <v>77</v>
      </c>
      <c r="B117" s="257"/>
      <c r="C117" s="257"/>
      <c r="D117" s="64" t="s">
        <v>78</v>
      </c>
      <c r="E117" s="51">
        <f>E118</f>
        <v>31230.379999999997</v>
      </c>
      <c r="F117" s="195">
        <f>F118</f>
        <v>86318</v>
      </c>
      <c r="G117" s="60">
        <f>G118</f>
        <v>146318</v>
      </c>
      <c r="H117" s="60">
        <f t="shared" ref="H117:I117" si="55">H118</f>
        <v>116318</v>
      </c>
      <c r="I117" s="60">
        <f t="shared" si="55"/>
        <v>137667</v>
      </c>
    </row>
    <row r="118" spans="1:9" ht="15" customHeight="1" x14ac:dyDescent="0.25">
      <c r="A118" s="255">
        <v>11</v>
      </c>
      <c r="B118" s="255"/>
      <c r="C118" s="255"/>
      <c r="D118" s="65" t="s">
        <v>10</v>
      </c>
      <c r="E118" s="52">
        <f>E119+E121</f>
        <v>31230.379999999997</v>
      </c>
      <c r="F118" s="192">
        <f>F119+F121</f>
        <v>86318</v>
      </c>
      <c r="G118" s="71">
        <f>G119+G121</f>
        <v>146318</v>
      </c>
      <c r="H118" s="71">
        <f t="shared" ref="H118:I118" si="56">H119+H121</f>
        <v>116318</v>
      </c>
      <c r="I118" s="71">
        <f t="shared" si="56"/>
        <v>137667</v>
      </c>
    </row>
    <row r="119" spans="1:9" ht="15" customHeight="1" x14ac:dyDescent="0.25">
      <c r="A119" s="256">
        <v>3</v>
      </c>
      <c r="B119" s="256"/>
      <c r="C119" s="256"/>
      <c r="D119" s="66" t="s">
        <v>11</v>
      </c>
      <c r="E119" s="53">
        <f>E120</f>
        <v>25294.35</v>
      </c>
      <c r="F119" s="193">
        <f>F120</f>
        <v>83000</v>
      </c>
      <c r="G119" s="72">
        <f>G120</f>
        <v>145318</v>
      </c>
      <c r="H119" s="72">
        <f t="shared" ref="H119:I119" si="57">H120</f>
        <v>115318</v>
      </c>
      <c r="I119" s="72">
        <f t="shared" si="57"/>
        <v>136667</v>
      </c>
    </row>
    <row r="120" spans="1:9" ht="15" customHeight="1" x14ac:dyDescent="0.25">
      <c r="A120" s="254">
        <v>32</v>
      </c>
      <c r="B120" s="254"/>
      <c r="C120" s="254"/>
      <c r="D120" s="67" t="s">
        <v>21</v>
      </c>
      <c r="E120" s="54">
        <v>25294.35</v>
      </c>
      <c r="F120" s="194">
        <v>83000</v>
      </c>
      <c r="G120" s="73">
        <v>145318</v>
      </c>
      <c r="H120" s="73">
        <v>115318</v>
      </c>
      <c r="I120" s="73">
        <v>136667</v>
      </c>
    </row>
    <row r="121" spans="1:9" ht="15" customHeight="1" x14ac:dyDescent="0.25">
      <c r="A121" s="256">
        <v>4</v>
      </c>
      <c r="B121" s="256"/>
      <c r="C121" s="256"/>
      <c r="D121" s="66" t="s">
        <v>13</v>
      </c>
      <c r="E121" s="53">
        <f>E122+E123</f>
        <v>5936.03</v>
      </c>
      <c r="F121" s="193">
        <f>F122+F123</f>
        <v>3318</v>
      </c>
      <c r="G121" s="72">
        <f>G122+G123</f>
        <v>1000</v>
      </c>
      <c r="H121" s="72">
        <f t="shared" ref="H121:I121" si="58">H122+H123</f>
        <v>1000</v>
      </c>
      <c r="I121" s="72">
        <f t="shared" si="58"/>
        <v>1000</v>
      </c>
    </row>
    <row r="122" spans="1:9" ht="27.95" customHeight="1" x14ac:dyDescent="0.25">
      <c r="A122" s="254">
        <v>42</v>
      </c>
      <c r="B122" s="254"/>
      <c r="C122" s="254"/>
      <c r="D122" s="67" t="s">
        <v>47</v>
      </c>
      <c r="E122" s="54">
        <v>3981.69</v>
      </c>
      <c r="F122" s="194">
        <v>3318</v>
      </c>
      <c r="G122" s="73">
        <v>1000</v>
      </c>
      <c r="H122" s="73">
        <v>1000</v>
      </c>
      <c r="I122" s="73">
        <v>1000</v>
      </c>
    </row>
    <row r="123" spans="1:9" ht="27.95" customHeight="1" x14ac:dyDescent="0.25">
      <c r="A123" s="254">
        <v>45</v>
      </c>
      <c r="B123" s="254"/>
      <c r="C123" s="254"/>
      <c r="D123" s="67" t="s">
        <v>49</v>
      </c>
      <c r="E123" s="54">
        <v>1954.34</v>
      </c>
      <c r="F123" s="194">
        <v>0</v>
      </c>
      <c r="G123" s="73">
        <v>0</v>
      </c>
      <c r="H123" s="73">
        <v>0</v>
      </c>
      <c r="I123" s="73">
        <v>0</v>
      </c>
    </row>
    <row r="124" spans="1:9" ht="38.25" x14ac:dyDescent="0.25">
      <c r="A124" s="257" t="s">
        <v>79</v>
      </c>
      <c r="B124" s="257"/>
      <c r="C124" s="257"/>
      <c r="D124" s="64" t="s">
        <v>80</v>
      </c>
      <c r="E124" s="51">
        <f>E125+E131+E137</f>
        <v>309120.24</v>
      </c>
      <c r="F124" s="195">
        <f>F125+F131+F137</f>
        <v>50230</v>
      </c>
      <c r="G124" s="60">
        <f>G125+G131+G137</f>
        <v>0</v>
      </c>
      <c r="H124" s="60">
        <f t="shared" ref="H124:I124" si="59">H125+H131+H137</f>
        <v>0</v>
      </c>
      <c r="I124" s="60">
        <f t="shared" si="59"/>
        <v>0</v>
      </c>
    </row>
    <row r="125" spans="1:9" ht="15" customHeight="1" x14ac:dyDescent="0.25">
      <c r="A125" s="255">
        <v>12</v>
      </c>
      <c r="B125" s="255"/>
      <c r="C125" s="255"/>
      <c r="D125" s="65" t="s">
        <v>39</v>
      </c>
      <c r="E125" s="52">
        <f>E126+E129</f>
        <v>57365.41</v>
      </c>
      <c r="F125" s="192">
        <f>F126+F129</f>
        <v>0</v>
      </c>
      <c r="G125" s="71">
        <f>G126+G129</f>
        <v>0</v>
      </c>
      <c r="H125" s="71">
        <f t="shared" ref="H125:I125" si="60">H126+H129</f>
        <v>0</v>
      </c>
      <c r="I125" s="71">
        <f t="shared" si="60"/>
        <v>0</v>
      </c>
    </row>
    <row r="126" spans="1:9" ht="15" customHeight="1" x14ac:dyDescent="0.25">
      <c r="A126" s="256">
        <v>3</v>
      </c>
      <c r="B126" s="256"/>
      <c r="C126" s="256"/>
      <c r="D126" s="66" t="s">
        <v>11</v>
      </c>
      <c r="E126" s="53">
        <f>E127+E128</f>
        <v>20500.77</v>
      </c>
      <c r="F126" s="193">
        <f>F127+F128</f>
        <v>0</v>
      </c>
      <c r="G126" s="72">
        <f>G127+G128</f>
        <v>0</v>
      </c>
      <c r="H126" s="72">
        <f t="shared" ref="H126:I126" si="61">H127+H128</f>
        <v>0</v>
      </c>
      <c r="I126" s="72">
        <f t="shared" si="61"/>
        <v>0</v>
      </c>
    </row>
    <row r="127" spans="1:9" ht="15" customHeight="1" x14ac:dyDescent="0.25">
      <c r="A127" s="254">
        <v>31</v>
      </c>
      <c r="B127" s="254"/>
      <c r="C127" s="254"/>
      <c r="D127" s="67" t="s">
        <v>12</v>
      </c>
      <c r="E127" s="54">
        <v>4238.08</v>
      </c>
      <c r="F127" s="194">
        <v>0</v>
      </c>
      <c r="G127" s="73">
        <v>0</v>
      </c>
      <c r="H127" s="73">
        <v>0</v>
      </c>
      <c r="I127" s="73">
        <v>0</v>
      </c>
    </row>
    <row r="128" spans="1:9" ht="15" customHeight="1" x14ac:dyDescent="0.25">
      <c r="A128" s="254">
        <v>32</v>
      </c>
      <c r="B128" s="254"/>
      <c r="C128" s="254"/>
      <c r="D128" s="67" t="s">
        <v>21</v>
      </c>
      <c r="E128" s="54">
        <v>16262.69</v>
      </c>
      <c r="F128" s="194">
        <v>0</v>
      </c>
      <c r="G128" s="73">
        <v>0</v>
      </c>
      <c r="H128" s="73">
        <v>0</v>
      </c>
      <c r="I128" s="73">
        <v>0</v>
      </c>
    </row>
    <row r="129" spans="1:9" ht="15" customHeight="1" x14ac:dyDescent="0.25">
      <c r="A129" s="256">
        <v>4</v>
      </c>
      <c r="B129" s="256"/>
      <c r="C129" s="256"/>
      <c r="D129" s="66" t="s">
        <v>13</v>
      </c>
      <c r="E129" s="53">
        <f>E130</f>
        <v>36864.639999999999</v>
      </c>
      <c r="F129" s="193">
        <f>F130</f>
        <v>0</v>
      </c>
      <c r="G129" s="72">
        <f>G130</f>
        <v>0</v>
      </c>
      <c r="H129" s="72">
        <f t="shared" ref="H129:I129" si="62">H130</f>
        <v>0</v>
      </c>
      <c r="I129" s="72">
        <f t="shared" si="62"/>
        <v>0</v>
      </c>
    </row>
    <row r="130" spans="1:9" ht="27.95" customHeight="1" x14ac:dyDescent="0.25">
      <c r="A130" s="254">
        <v>42</v>
      </c>
      <c r="B130" s="254"/>
      <c r="C130" s="254"/>
      <c r="D130" s="67" t="s">
        <v>47</v>
      </c>
      <c r="E130" s="54">
        <v>36864.639999999999</v>
      </c>
      <c r="F130" s="194">
        <v>0</v>
      </c>
      <c r="G130" s="73">
        <v>0</v>
      </c>
      <c r="H130" s="73">
        <v>0</v>
      </c>
      <c r="I130" s="73">
        <v>0</v>
      </c>
    </row>
    <row r="131" spans="1:9" ht="15" customHeight="1" x14ac:dyDescent="0.25">
      <c r="A131" s="255">
        <v>51</v>
      </c>
      <c r="B131" s="255"/>
      <c r="C131" s="255"/>
      <c r="D131" s="65" t="s">
        <v>43</v>
      </c>
      <c r="E131" s="52">
        <f>E132+E135</f>
        <v>150111.51999999999</v>
      </c>
      <c r="F131" s="192">
        <f>F132+F135</f>
        <v>0</v>
      </c>
      <c r="G131" s="71">
        <f>G132+G135</f>
        <v>0</v>
      </c>
      <c r="H131" s="71">
        <f t="shared" ref="H131:I131" si="63">H132+H135</f>
        <v>0</v>
      </c>
      <c r="I131" s="71">
        <f t="shared" si="63"/>
        <v>0</v>
      </c>
    </row>
    <row r="132" spans="1:9" ht="15" customHeight="1" x14ac:dyDescent="0.25">
      <c r="A132" s="256">
        <v>3</v>
      </c>
      <c r="B132" s="256"/>
      <c r="C132" s="256"/>
      <c r="D132" s="66" t="s">
        <v>11</v>
      </c>
      <c r="E132" s="53">
        <f>E133+E134</f>
        <v>61502.29</v>
      </c>
      <c r="F132" s="193">
        <f>F133+F134</f>
        <v>0</v>
      </c>
      <c r="G132" s="72">
        <f>G133+G134</f>
        <v>0</v>
      </c>
      <c r="H132" s="72">
        <f t="shared" ref="H132:I132" si="64">H133+H134</f>
        <v>0</v>
      </c>
      <c r="I132" s="72">
        <f t="shared" si="64"/>
        <v>0</v>
      </c>
    </row>
    <row r="133" spans="1:9" ht="15" customHeight="1" x14ac:dyDescent="0.25">
      <c r="A133" s="254">
        <v>31</v>
      </c>
      <c r="B133" s="254"/>
      <c r="C133" s="254"/>
      <c r="D133" s="67" t="s">
        <v>12</v>
      </c>
      <c r="E133" s="54">
        <v>12714.22</v>
      </c>
      <c r="F133" s="194">
        <v>0</v>
      </c>
      <c r="G133" s="73">
        <v>0</v>
      </c>
      <c r="H133" s="73">
        <v>0</v>
      </c>
      <c r="I133" s="73">
        <v>0</v>
      </c>
    </row>
    <row r="134" spans="1:9" ht="15" customHeight="1" x14ac:dyDescent="0.25">
      <c r="A134" s="254">
        <v>32</v>
      </c>
      <c r="B134" s="254"/>
      <c r="C134" s="254"/>
      <c r="D134" s="67" t="s">
        <v>21</v>
      </c>
      <c r="E134" s="54">
        <v>48788.07</v>
      </c>
      <c r="F134" s="194">
        <v>0</v>
      </c>
      <c r="G134" s="73">
        <v>0</v>
      </c>
      <c r="H134" s="73">
        <v>0</v>
      </c>
      <c r="I134" s="73">
        <v>0</v>
      </c>
    </row>
    <row r="135" spans="1:9" ht="15" customHeight="1" x14ac:dyDescent="0.25">
      <c r="A135" s="256">
        <v>4</v>
      </c>
      <c r="B135" s="256"/>
      <c r="C135" s="256"/>
      <c r="D135" s="66" t="s">
        <v>13</v>
      </c>
      <c r="E135" s="53">
        <f>E136</f>
        <v>88609.23</v>
      </c>
      <c r="F135" s="193">
        <f>F136</f>
        <v>0</v>
      </c>
      <c r="G135" s="72">
        <f>G136</f>
        <v>0</v>
      </c>
      <c r="H135" s="72">
        <f t="shared" ref="H135:I135" si="65">H136</f>
        <v>0</v>
      </c>
      <c r="I135" s="72">
        <f t="shared" si="65"/>
        <v>0</v>
      </c>
    </row>
    <row r="136" spans="1:9" ht="27.95" customHeight="1" x14ac:dyDescent="0.25">
      <c r="A136" s="254">
        <v>42</v>
      </c>
      <c r="B136" s="254"/>
      <c r="C136" s="254"/>
      <c r="D136" s="67" t="s">
        <v>47</v>
      </c>
      <c r="E136" s="54">
        <v>88609.23</v>
      </c>
      <c r="F136" s="194">
        <v>0</v>
      </c>
      <c r="G136" s="73">
        <v>0</v>
      </c>
      <c r="H136" s="73">
        <v>0</v>
      </c>
      <c r="I136" s="73">
        <v>0</v>
      </c>
    </row>
    <row r="137" spans="1:9" ht="15" customHeight="1" x14ac:dyDescent="0.25">
      <c r="A137" s="255">
        <v>559</v>
      </c>
      <c r="B137" s="255"/>
      <c r="C137" s="255"/>
      <c r="D137" s="65" t="s">
        <v>65</v>
      </c>
      <c r="E137" s="52">
        <f>E138+E141</f>
        <v>101643.31</v>
      </c>
      <c r="F137" s="192">
        <f>F138+F141</f>
        <v>50230</v>
      </c>
      <c r="G137" s="71">
        <f>G138+G141</f>
        <v>0</v>
      </c>
      <c r="H137" s="71">
        <f t="shared" ref="H137:I137" si="66">H138+H141</f>
        <v>0</v>
      </c>
      <c r="I137" s="71">
        <f t="shared" si="66"/>
        <v>0</v>
      </c>
    </row>
    <row r="138" spans="1:9" ht="15" customHeight="1" x14ac:dyDescent="0.25">
      <c r="A138" s="256">
        <v>3</v>
      </c>
      <c r="B138" s="256"/>
      <c r="C138" s="256"/>
      <c r="D138" s="66" t="s">
        <v>11</v>
      </c>
      <c r="E138" s="53">
        <f>E139+E140</f>
        <v>31762.300000000003</v>
      </c>
      <c r="F138" s="193">
        <f>F139+F140</f>
        <v>42184</v>
      </c>
      <c r="G138" s="72">
        <f>G139+G140</f>
        <v>0</v>
      </c>
      <c r="H138" s="72">
        <f t="shared" ref="H138:I138" si="67">H139+H140</f>
        <v>0</v>
      </c>
      <c r="I138" s="72">
        <f t="shared" si="67"/>
        <v>0</v>
      </c>
    </row>
    <row r="139" spans="1:9" ht="15" customHeight="1" x14ac:dyDescent="0.25">
      <c r="A139" s="254">
        <v>31</v>
      </c>
      <c r="B139" s="254"/>
      <c r="C139" s="254"/>
      <c r="D139" s="67" t="s">
        <v>12</v>
      </c>
      <c r="E139" s="54">
        <v>29434.47</v>
      </c>
      <c r="F139" s="194">
        <v>11534</v>
      </c>
      <c r="G139" s="73">
        <v>0</v>
      </c>
      <c r="H139" s="73">
        <v>0</v>
      </c>
      <c r="I139" s="73">
        <v>0</v>
      </c>
    </row>
    <row r="140" spans="1:9" ht="15" customHeight="1" x14ac:dyDescent="0.25">
      <c r="A140" s="254">
        <v>32</v>
      </c>
      <c r="B140" s="254"/>
      <c r="C140" s="254"/>
      <c r="D140" s="67" t="s">
        <v>21</v>
      </c>
      <c r="E140" s="54">
        <v>2327.83</v>
      </c>
      <c r="F140" s="194">
        <v>30650</v>
      </c>
      <c r="G140" s="73">
        <v>0</v>
      </c>
      <c r="H140" s="73">
        <v>0</v>
      </c>
      <c r="I140" s="73">
        <v>0</v>
      </c>
    </row>
    <row r="141" spans="1:9" ht="15" customHeight="1" x14ac:dyDescent="0.25">
      <c r="A141" s="256">
        <v>4</v>
      </c>
      <c r="B141" s="256"/>
      <c r="C141" s="256"/>
      <c r="D141" s="66" t="s">
        <v>13</v>
      </c>
      <c r="E141" s="53">
        <f>E142</f>
        <v>69881.009999999995</v>
      </c>
      <c r="F141" s="193">
        <f>F142</f>
        <v>8046</v>
      </c>
      <c r="G141" s="72">
        <f>G142</f>
        <v>0</v>
      </c>
      <c r="H141" s="72">
        <f t="shared" ref="H141:I141" si="68">H142</f>
        <v>0</v>
      </c>
      <c r="I141" s="72">
        <f t="shared" si="68"/>
        <v>0</v>
      </c>
    </row>
    <row r="142" spans="1:9" ht="27.95" customHeight="1" x14ac:dyDescent="0.25">
      <c r="A142" s="254">
        <v>42</v>
      </c>
      <c r="B142" s="254"/>
      <c r="C142" s="254"/>
      <c r="D142" s="67" t="s">
        <v>47</v>
      </c>
      <c r="E142" s="54">
        <v>69881.009999999995</v>
      </c>
      <c r="F142" s="194">
        <v>8046</v>
      </c>
      <c r="G142" s="73">
        <v>0</v>
      </c>
      <c r="H142" s="73">
        <v>0</v>
      </c>
      <c r="I142" s="73">
        <v>0</v>
      </c>
    </row>
  </sheetData>
  <mergeCells count="140">
    <mergeCell ref="A34:C34"/>
    <mergeCell ref="A35:C35"/>
    <mergeCell ref="A22:C22"/>
    <mergeCell ref="A23:C23"/>
    <mergeCell ref="A25:C25"/>
    <mergeCell ref="A18:C18"/>
    <mergeCell ref="A19:C19"/>
    <mergeCell ref="A20:C20"/>
    <mergeCell ref="A21:C21"/>
    <mergeCell ref="A32:C32"/>
    <mergeCell ref="A36:C36"/>
    <mergeCell ref="A27:C27"/>
    <mergeCell ref="A9:C9"/>
    <mergeCell ref="A10:C10"/>
    <mergeCell ref="A2:I2"/>
    <mergeCell ref="A8:C8"/>
    <mergeCell ref="A5:C5"/>
    <mergeCell ref="A6:C6"/>
    <mergeCell ref="A11:C11"/>
    <mergeCell ref="A12:C12"/>
    <mergeCell ref="A7:C7"/>
    <mergeCell ref="A24:C24"/>
    <mergeCell ref="A28:C28"/>
    <mergeCell ref="A29:C29"/>
    <mergeCell ref="A31:C31"/>
    <mergeCell ref="A30:C30"/>
    <mergeCell ref="A26:C26"/>
    <mergeCell ref="A13:C13"/>
    <mergeCell ref="A14:C14"/>
    <mergeCell ref="A15:C15"/>
    <mergeCell ref="A16:C16"/>
    <mergeCell ref="A17:C17"/>
    <mergeCell ref="A33:C33"/>
    <mergeCell ref="A4:B4"/>
    <mergeCell ref="A44:C44"/>
    <mergeCell ref="A45:C45"/>
    <mergeCell ref="A46:C46"/>
    <mergeCell ref="A47:C47"/>
    <mergeCell ref="A48:C48"/>
    <mergeCell ref="A37:C37"/>
    <mergeCell ref="A40:C40"/>
    <mergeCell ref="A41:C41"/>
    <mergeCell ref="A42:C42"/>
    <mergeCell ref="A43:C43"/>
    <mergeCell ref="A38:C38"/>
    <mergeCell ref="A39:C39"/>
    <mergeCell ref="A63:C63"/>
    <mergeCell ref="A69:C69"/>
    <mergeCell ref="A70:C70"/>
    <mergeCell ref="A71:C71"/>
    <mergeCell ref="A59:C59"/>
    <mergeCell ref="A60:C60"/>
    <mergeCell ref="A62:C62"/>
    <mergeCell ref="A61:C61"/>
    <mergeCell ref="A49:C49"/>
    <mergeCell ref="A50:C50"/>
    <mergeCell ref="A51:C51"/>
    <mergeCell ref="A53:C53"/>
    <mergeCell ref="A64:C64"/>
    <mergeCell ref="A65:C65"/>
    <mergeCell ref="A66:C66"/>
    <mergeCell ref="A67:C67"/>
    <mergeCell ref="A68:C68"/>
    <mergeCell ref="A52:C52"/>
    <mergeCell ref="A54:C54"/>
    <mergeCell ref="A57:C57"/>
    <mergeCell ref="A58:C58"/>
    <mergeCell ref="A55:C55"/>
    <mergeCell ref="A56:C56"/>
    <mergeCell ref="A81:C81"/>
    <mergeCell ref="A83:C83"/>
    <mergeCell ref="A82:C82"/>
    <mergeCell ref="A84:C84"/>
    <mergeCell ref="A72:C72"/>
    <mergeCell ref="A73:C73"/>
    <mergeCell ref="A79:C79"/>
    <mergeCell ref="A80:C80"/>
    <mergeCell ref="A74:C74"/>
    <mergeCell ref="A75:C75"/>
    <mergeCell ref="A76:C76"/>
    <mergeCell ref="A77:C77"/>
    <mergeCell ref="A78:C78"/>
    <mergeCell ref="A96:C96"/>
    <mergeCell ref="A97:C97"/>
    <mergeCell ref="A89:C89"/>
    <mergeCell ref="A90:C90"/>
    <mergeCell ref="A91:C91"/>
    <mergeCell ref="A92:C92"/>
    <mergeCell ref="A93:C93"/>
    <mergeCell ref="A85:C85"/>
    <mergeCell ref="A86:C86"/>
    <mergeCell ref="A87:C87"/>
    <mergeCell ref="A88:C88"/>
    <mergeCell ref="A94:C94"/>
    <mergeCell ref="A95:C95"/>
    <mergeCell ref="A142:C142"/>
    <mergeCell ref="A137:C137"/>
    <mergeCell ref="A138:C138"/>
    <mergeCell ref="A139:C139"/>
    <mergeCell ref="A140:C140"/>
    <mergeCell ref="A141:C141"/>
    <mergeCell ref="A132:C132"/>
    <mergeCell ref="A133:C133"/>
    <mergeCell ref="A134:C134"/>
    <mergeCell ref="A135:C135"/>
    <mergeCell ref="A136:C136"/>
    <mergeCell ref="A128:C128"/>
    <mergeCell ref="A129:C129"/>
    <mergeCell ref="A130:C130"/>
    <mergeCell ref="A131:C131"/>
    <mergeCell ref="A124:C124"/>
    <mergeCell ref="A125:C125"/>
    <mergeCell ref="A126:C126"/>
    <mergeCell ref="A127:C127"/>
    <mergeCell ref="A119:C119"/>
    <mergeCell ref="A120:C120"/>
    <mergeCell ref="A121:C121"/>
    <mergeCell ref="A122:C122"/>
    <mergeCell ref="A123:C123"/>
    <mergeCell ref="A115:C115"/>
    <mergeCell ref="A116:C116"/>
    <mergeCell ref="A117:C117"/>
    <mergeCell ref="A118:C118"/>
    <mergeCell ref="A112:C112"/>
    <mergeCell ref="A113:C113"/>
    <mergeCell ref="A114:C114"/>
    <mergeCell ref="A109:C109"/>
    <mergeCell ref="A110:C110"/>
    <mergeCell ref="A111:C111"/>
    <mergeCell ref="A105:C105"/>
    <mergeCell ref="A106:C106"/>
    <mergeCell ref="A107:C107"/>
    <mergeCell ref="A108:C108"/>
    <mergeCell ref="A101:C101"/>
    <mergeCell ref="A102:C102"/>
    <mergeCell ref="A103:C103"/>
    <mergeCell ref="A104:C104"/>
    <mergeCell ref="A98:C98"/>
    <mergeCell ref="A99:C99"/>
    <mergeCell ref="A100:C100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rashoda-ekonom</vt:lpstr>
      <vt:lpstr>Račun prihoda i rashoda-izvori</vt:lpstr>
      <vt:lpstr>Račun rashoda-funkcija</vt:lpstr>
      <vt:lpstr>Račun financiranja-ekonomsk</vt:lpstr>
      <vt:lpstr>Račun financiranja-izvori</vt:lpstr>
      <vt:lpstr>POSEBNI DIO</vt:lpstr>
      <vt:lpstr>' Račun prihoda i rashoda-ekonom'!Ispis_naslova</vt:lpstr>
      <vt:lpstr>'POSEBNI DIO'!Ispis_naslova</vt:lpstr>
      <vt:lpstr>' Račun prihoda i rashoda-ekonom'!Podrucje_ispisa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DIMEC JASNA</cp:lastModifiedBy>
  <cp:lastPrinted>2023-12-20T09:53:33Z</cp:lastPrinted>
  <dcterms:created xsi:type="dcterms:W3CDTF">2022-08-12T12:51:27Z</dcterms:created>
  <dcterms:modified xsi:type="dcterms:W3CDTF">2023-12-28T13:03:42Z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